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8830" windowHeight="6450" tabRatio="475" activeTab="2"/>
  </bookViews>
  <sheets>
    <sheet name="Krycí list" sheetId="1" r:id="rId1"/>
    <sheet name="rekapitulace" sheetId="2" r:id="rId2"/>
    <sheet name="Položky" sheetId="3" r:id="rId3"/>
  </sheets>
  <externalReferences>
    <externalReference r:id="rId6"/>
  </externalReferences>
  <definedNames>
    <definedName name="cisloobjektu">'[1]Krycí list'!$A$5</definedName>
    <definedName name="cislostavby">'[1]Krycí list'!$A$7</definedName>
    <definedName name="nazevobjektu">'[1]Krycí list'!$C$5</definedName>
    <definedName name="nazevstavby">'[1]Krycí list'!$C$7</definedName>
    <definedName name="_xlnm.Print_Area" localSheetId="0">'Krycí list'!$A$1:$I$47</definedName>
    <definedName name="_xlnm.Print_Area" localSheetId="2">'Položky'!$A$1:$L$96</definedName>
    <definedName name="_xlnm.Print_Area" localSheetId="1">'rekapitulace'!$A$1:$J$13</definedName>
  </definedNames>
  <calcPr fullCalcOnLoad="1"/>
</workbook>
</file>

<file path=xl/sharedStrings.xml><?xml version="1.0" encoding="utf-8"?>
<sst xmlns="http://schemas.openxmlformats.org/spreadsheetml/2006/main" count="406" uniqueCount="266">
  <si>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</si>
  <si>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</si>
  <si>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</si>
  <si>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</si>
  <si>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</si>
  <si>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</si>
  <si>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</si>
  <si>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</si>
  <si>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</si>
  <si>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</si>
  <si>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</si>
  <si>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</si>
  <si>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</si>
  <si>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</si>
  <si>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</si>
  <si>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</si>
  <si>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</si>
  <si>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</si>
  <si>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</si>
  <si>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</si>
  <si>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</si>
  <si>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</si>
  <si>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</si>
  <si>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</si>
  <si>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</si>
  <si>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</si>
  <si>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</si>
  <si>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</si>
  <si>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</si>
  <si>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</si>
  <si>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</si>
  <si>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</si>
  <si>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</si>
  <si>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</si>
  <si>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</si>
  <si>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</si>
  <si>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</si>
  <si>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</si>
  <si>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</si>
  <si>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</si>
  <si>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</si>
  <si>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</si>
  <si>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</si>
  <si>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</si>
  <si>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</si>
  <si>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</si>
  <si>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</si>
  <si>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</si>
  <si>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Objekt</t>
  </si>
  <si>
    <t>Kód</t>
  </si>
  <si>
    <t>721</t>
  </si>
  <si>
    <t>721176102R00</t>
  </si>
  <si>
    <t>721176103R00</t>
  </si>
  <si>
    <t>721176105R00</t>
  </si>
  <si>
    <t>721194104R00</t>
  </si>
  <si>
    <t>721194105R00</t>
  </si>
  <si>
    <t>721194109R00</t>
  </si>
  <si>
    <t>998721102R00</t>
  </si>
  <si>
    <t>721290111R00</t>
  </si>
  <si>
    <t>722</t>
  </si>
  <si>
    <t>722130238R00</t>
  </si>
  <si>
    <t>722172311R00</t>
  </si>
  <si>
    <t>722172312R00</t>
  </si>
  <si>
    <t>722172331R00</t>
  </si>
  <si>
    <t>722181233RV3</t>
  </si>
  <si>
    <t>722181213RT7</t>
  </si>
  <si>
    <t>722181213RT8</t>
  </si>
  <si>
    <t>722181214RT7</t>
  </si>
  <si>
    <t>722174211R00</t>
  </si>
  <si>
    <t>722174212R00</t>
  </si>
  <si>
    <t>722190401R00</t>
  </si>
  <si>
    <t>722190405R00</t>
  </si>
  <si>
    <t>722254231R00</t>
  </si>
  <si>
    <t>722280106R00</t>
  </si>
  <si>
    <t>722290229R00</t>
  </si>
  <si>
    <t>722290234R00</t>
  </si>
  <si>
    <t>998722102R00</t>
  </si>
  <si>
    <t>725</t>
  </si>
  <si>
    <t>725-02536VD</t>
  </si>
  <si>
    <t>725-02544VD</t>
  </si>
  <si>
    <t>725-02537VD</t>
  </si>
  <si>
    <t>998725102R00</t>
  </si>
  <si>
    <t>725 00-9811VD</t>
  </si>
  <si>
    <t>Zkrácený popis</t>
  </si>
  <si>
    <t>Vnitřní kanalizace</t>
  </si>
  <si>
    <t>Vyvedení odpadních výpustek D 40 x 1,8</t>
  </si>
  <si>
    <t>Vyvedení odpadních výpustek D 50 x 1,8</t>
  </si>
  <si>
    <t>Vyvedení odpadních výpustek D 110 x 2,3</t>
  </si>
  <si>
    <t>Přesun hmot pro vnitřní kanalizaci, výšky do 12 m</t>
  </si>
  <si>
    <t>Vnitřní vodovod</t>
  </si>
  <si>
    <t>Potrubí z trub.závit.pozink.bezešvých, DN 80, montáž+dodávka potrubí včetně tvarovek</t>
  </si>
  <si>
    <t>Montáž potrubí z plastů rovné polyfúz. svař. DN 20</t>
  </si>
  <si>
    <t>Vyvedení a upevnění výpustek DN 15</t>
  </si>
  <si>
    <t>Vyvedení a upevnění výpustek DN 32</t>
  </si>
  <si>
    <t>HS pěnotvorný s tvarově stálou hadicí D33 -30bm</t>
  </si>
  <si>
    <t>Přesun hmot pro vnitřní vodovod, výšky do 12 m</t>
  </si>
  <si>
    <t>Zařizovací předměty</t>
  </si>
  <si>
    <t>WC dodávka,montáž</t>
  </si>
  <si>
    <t>U dodávka+montáž</t>
  </si>
  <si>
    <t>Přesun hmot pro zařizovací předměty, výšky do 12 m</t>
  </si>
  <si>
    <t>D dodávka+montáž</t>
  </si>
  <si>
    <t>M.j.</t>
  </si>
  <si>
    <t>m</t>
  </si>
  <si>
    <t>kus</t>
  </si>
  <si>
    <t>t</t>
  </si>
  <si>
    <t>soubor</t>
  </si>
  <si>
    <t>ks</t>
  </si>
  <si>
    <t>Množství</t>
  </si>
  <si>
    <t>Jednot.</t>
  </si>
  <si>
    <t>cena (Kč)</t>
  </si>
  <si>
    <t>Náklady (Kč)</t>
  </si>
  <si>
    <t>Dodávka</t>
  </si>
  <si>
    <t>Celkem:</t>
  </si>
  <si>
    <t>Montáž</t>
  </si>
  <si>
    <t>Celkem</t>
  </si>
  <si>
    <t>Hmotnost (t)</t>
  </si>
  <si>
    <t>0</t>
  </si>
  <si>
    <t>Přesuny</t>
  </si>
  <si>
    <t>Typ skupiny</t>
  </si>
  <si>
    <t>PS</t>
  </si>
  <si>
    <t>HSV mat</t>
  </si>
  <si>
    <t>HSV prac</t>
  </si>
  <si>
    <t>PSV mat</t>
  </si>
  <si>
    <t>PSV prac</t>
  </si>
  <si>
    <t>Mont mat</t>
  </si>
  <si>
    <t>Mont prac</t>
  </si>
  <si>
    <t>Ostatní mat.</t>
  </si>
  <si>
    <t>Náklady (Kč) - dodávka</t>
  </si>
  <si>
    <t>Náklady (Kč) - Montáž</t>
  </si>
  <si>
    <t>Náklady (Kč) - celkem</t>
  </si>
  <si>
    <t>Celková hmotnost (t)</t>
  </si>
  <si>
    <t>F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</si>
  <si>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</si>
  <si>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</si>
  <si>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</si>
  <si>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</si>
  <si>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</si>
  <si>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</si>
  <si>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</si>
  <si>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</si>
  <si>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</si>
  <si>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</si>
  <si>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</si>
  <si>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</si>
  <si>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</si>
  <si>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</si>
  <si>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</si>
  <si>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</si>
  <si>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</si>
  <si>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</si>
  <si>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</si>
  <si>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</si>
  <si>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</si>
  <si>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</si>
  <si>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</si>
  <si>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</si>
  <si>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</si>
  <si>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</si>
  <si>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</si>
  <si>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</si>
  <si>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</si>
  <si>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</si>
  <si>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Náklady na umístění stavby (NUS)</t>
  </si>
  <si>
    <t>0,5</t>
  </si>
  <si>
    <t>klozet závěsný,montážní prvek včetně nádržky samonosný, sedátko, ovládací tlačítko start/stop-chrom,montážní sada</t>
  </si>
  <si>
    <t>Umyvadlo keramické klasické, šířka 470 mm, délka 550 mm; baterie umyvadlová stojánkovýá páková, zápachová uzávěrka; upevňovací prvky</t>
  </si>
  <si>
    <t>Ocelová skříně s navijákem o rozměrech (š 1190 a v 800 x h 340) opatřená povrchovou úpravou práškovou strukturální barvou RAL 3000 (červená) pro vnitřní použití. Přiměšovač D33 do HS s kulovým uzávěrem. Propojovací hadice D33 délky 1,4m.Hadice D33 v délce 30m. Kanystr s pěnidlem (20l). Požární pěnotvorná proudnice na těžkou pěnu s kulovým ventilem. Sací hadice s nerezovou trubkou.</t>
  </si>
  <si>
    <t>LT PROJEKT a.s.</t>
  </si>
  <si>
    <t>Dřez v dodávce linky T/7,zápachová uzávěrka DN50-dle výrobce,baterie nástěnná páková-chrom rozt.150mm,montážní sada</t>
  </si>
  <si>
    <t>Potrubí z PPR, PN16, D 20/2,8 mm, potrubí včetně tvarovek,kompenzací a spojek</t>
  </si>
  <si>
    <t>Potrubí z PPR, PN16 D 25/3,5 mm, potrubí včetně tvarovek,kompenzací a spojek</t>
  </si>
  <si>
    <t>Izolace návleková tl. stěny 13 mm, vnitřní průměr 89 mm, včetně izolace tvarovek,montáže,dodávky,spon a lepící pásky</t>
  </si>
  <si>
    <t>Izolace návleková tl. stěny 13 mm, vnitřní průměr 22 mm, včetně izolace tvarovek,montáže,dodávky,spon a lepící pásky</t>
  </si>
  <si>
    <t>Izolace návleková tl. stěny 13 mm, vnitřní průměr 25 mm, včetně izolace tvarovek,montáže,dodávky,spon a lepící pásky</t>
  </si>
  <si>
    <t>Izolace návleková tl. stěny 20 mm, vnitřní průměr 22 mm, včetně izolace tvarovek,montáže,dodávky,spon a lepící pásky</t>
  </si>
  <si>
    <t>767995101R00</t>
  </si>
  <si>
    <t>kg</t>
  </si>
  <si>
    <t>5536019600</t>
  </si>
  <si>
    <t>Dvířka revizní 300 x 300 mm</t>
  </si>
  <si>
    <t xml:space="preserve">Závěsné prvky </t>
  </si>
  <si>
    <t>Potrubí z PPR, PN20 D 20/3,4 mm, potrubí včetně tvarovek,kompenzací a spojek</t>
  </si>
  <si>
    <t>721 00-9155VD</t>
  </si>
  <si>
    <t>Izolace potrubí včetně tvarovek proti rosení a hluku,minerální vlna/AL povrch tl.25mm - komplet dešťové+splaškové v podhledech+prostupy konstrukcemi</t>
  </si>
  <si>
    <t>Zkouška těsnosti kanalizace vodou do  DN 125</t>
  </si>
  <si>
    <t>721176212R00</t>
  </si>
  <si>
    <t>Potrubí HT připojovací DN 100 x 2,7 mm, monáž a dodávka potrubí včetně tvarovek,čistících kusů a těsnění</t>
  </si>
  <si>
    <t>Potrubí HT připojovací DN 50 x 1,8 mm, monáž a dodávka potrubí včetně tvarovek, čistících kusů a těsnění</t>
  </si>
  <si>
    <t>Potrubí HT připojovací DN 40 x 1,8 mm, monáž a dodávka potrubí včetně tvarovek,  čistících kusů a těsnění</t>
  </si>
  <si>
    <t>Potrubí KG odpadní svislé DN 100 x 3,2 mm, monáž a dodávka potrubí včetně tvarovek, čistících kusů a těsnění</t>
  </si>
  <si>
    <t>Stavba :</t>
  </si>
  <si>
    <t>Objekt :</t>
  </si>
  <si>
    <t>Rozpočet :</t>
  </si>
  <si>
    <t>F1.04 - Zdravotně technické instalace</t>
  </si>
  <si>
    <t>Rozpočet</t>
  </si>
  <si>
    <t>Název objektu</t>
  </si>
  <si>
    <t xml:space="preserve">SKP </t>
  </si>
  <si>
    <t>SO 01 - Heliport</t>
  </si>
  <si>
    <t>Měrná jednotka</t>
  </si>
  <si>
    <t>Stavba</t>
  </si>
  <si>
    <t>Název stavby</t>
  </si>
  <si>
    <t>Počet jednotek</t>
  </si>
  <si>
    <t>FN Brno - Heliport HEMS</t>
  </si>
  <si>
    <t>Náklady na m.j.</t>
  </si>
  <si>
    <t>Typ rozpočtu</t>
  </si>
  <si>
    <t>Zpracovatel projektu</t>
  </si>
  <si>
    <t>Fakultní nemocnice Brno</t>
  </si>
  <si>
    <t>Dodavatel</t>
  </si>
  <si>
    <t xml:space="preserve">Zakázkové číslo </t>
  </si>
  <si>
    <t>Rozpočtoval</t>
  </si>
  <si>
    <t>Počet listů</t>
  </si>
  <si>
    <t>ROZPOČTOVÉ NÁKLADY</t>
  </si>
  <si>
    <t>Poznámka :</t>
  </si>
  <si>
    <t>Textová, výkresová i tabulková část PD tvoří jeden vzájemně se doplňující a provázaný celek. Jednotliví účastníci výběrového řízení se musí seznámit s projektovou dokumentací v návaznosti na soupis prací a na základě těchto informací části díla nacenit. Dále je potřeba při stanovení ceny dle vykázané výměry započítat všechny předpokládané doplňkové prvky a činnosti s touto položkou související tak, aby cena byla kompletní a prvek funkční.</t>
  </si>
  <si>
    <t>REKAPITULACE  STAVEBNÍCH  DÍLŮ</t>
  </si>
  <si>
    <t>0,4+1,9</t>
  </si>
  <si>
    <t>2,2</t>
  </si>
  <si>
    <t>13+0,7</t>
  </si>
  <si>
    <t>2,3+2,2+13,7</t>
  </si>
  <si>
    <t>2,3+2,2+13,7+0,4</t>
  </si>
  <si>
    <t>10,7+9,4</t>
  </si>
  <si>
    <t>Potrubí z trub.závit.pozink.bezešvých, DN 32, montáž+dodávka potrubí včetně tvarovek</t>
  </si>
  <si>
    <t>1,7</t>
  </si>
  <si>
    <t>4,1</t>
  </si>
  <si>
    <t>0,7+1,3</t>
  </si>
  <si>
    <t>Potrubí z PPR, PN16 D 16/2,2 mm, potrubí včetně tvarovek,kompenzací a spojek</t>
  </si>
  <si>
    <t>1,9</t>
  </si>
  <si>
    <t>0,3</t>
  </si>
  <si>
    <t>Potrubí z PPR, PN20 D 16/2,7 mm, potrubí včetně tvarovek,kompenzací a spojek</t>
  </si>
  <si>
    <t>722172330R00</t>
  </si>
  <si>
    <t>722172310R00</t>
  </si>
  <si>
    <t>722181213RT6</t>
  </si>
  <si>
    <t>Izolace návleková tl. stěny 13 mm, vnitřní průměr 18 mm, včetně izolace tvarovek,montáže,dodávky,spon a lepící pásky</t>
  </si>
  <si>
    <t>Izolace návleková tl. stěny 20 mm, vnitřní průměr 18 mm, včetně izolace tvarovek,montáže,dodávky,spon a lepící pásky</t>
  </si>
  <si>
    <t>722181214RT6</t>
  </si>
  <si>
    <t>4,1+0,3+2+1,9</t>
  </si>
  <si>
    <t>Um dodávka+montáž</t>
  </si>
  <si>
    <t>Zkouška tlaku potrubí závitového do DN 100</t>
  </si>
  <si>
    <t>Proplach a dezinfekce vodovod.potrubí do DN 80</t>
  </si>
  <si>
    <t>Tlaková zkouška vodovodního potrubí do DN 32</t>
  </si>
  <si>
    <t>Umývátko keramické klasické, šířka 370 mm, délka 450 mm; baterie umyvadlová nástěnná páková, zápachová uzávěrka; upevňovací prvky</t>
  </si>
  <si>
    <t>722215458R00</t>
  </si>
  <si>
    <t>Klapka zpět.přírub.IVAR BRA.F5.000 DN 80 do přírub</t>
  </si>
  <si>
    <t>722219104R00</t>
  </si>
  <si>
    <t>Montáž armatur vodovodních přírubových DN 80</t>
  </si>
  <si>
    <t>55162537.A</t>
  </si>
  <si>
    <t>HL810 hlavice větrací střešní DN 110 - souprava</t>
  </si>
  <si>
    <t>721176224R00</t>
  </si>
  <si>
    <t>Potrubí KG svodné (ležaté) v zemi DN 150 x 4,0 mm</t>
  </si>
  <si>
    <t>3,1</t>
  </si>
  <si>
    <t>0,4</t>
  </si>
  <si>
    <t>722130234R00</t>
  </si>
  <si>
    <t>Montáž potrubí z plastů rovné polyfúz. svař.do DN 16</t>
  </si>
  <si>
    <t>20,1+1,7</t>
  </si>
  <si>
    <t>20,1+1,7+4,1+0,5+2+0,3+1,9</t>
  </si>
  <si>
    <t>725534111R00</t>
  </si>
  <si>
    <t>722235812R00</t>
  </si>
  <si>
    <t>Ohřívač elektrický zásobníkový tlakový, 5l včetně montáže</t>
  </si>
  <si>
    <t>Ventil redukční s manometrem 8 / 3 bar včetně montáže</t>
  </si>
  <si>
    <t>4,1+0,5+2+0,3+1,9</t>
  </si>
  <si>
    <t>21,8+8,8</t>
  </si>
  <si>
    <t>Soupis prací</t>
  </si>
  <si>
    <t>SOUPIS PRACÍ</t>
  </si>
  <si>
    <t>Základ 15%</t>
  </si>
  <si>
    <t>Základ 21%</t>
  </si>
  <si>
    <t>DPH 15%</t>
  </si>
  <si>
    <t>DPH 21%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</si>
</sst>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2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b/>
      <sz val="20"/>
      <color indexed="8"/>
      <name val="Arial"/>
      <family val="0"/>
    </font>
    <font>
      <b/>
      <sz val="11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sz val="10"/>
      <name val="Arial CE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8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70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2" fillId="0" borderId="15" xfId="0" applyNumberFormat="1" applyFont="1" applyFill="1" applyBorder="1" applyAlignment="1" applyProtection="1">
      <alignment horizontal="left" vertical="center"/>
      <protection/>
    </xf>
    <xf numFmtId="49" fontId="2" fillId="33" borderId="12" xfId="0" applyNumberFormat="1" applyFont="1" applyFill="1" applyBorder="1" applyAlignment="1" applyProtection="1">
      <alignment horizontal="left" vertical="center"/>
      <protection/>
    </xf>
    <xf numFmtId="49" fontId="2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right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33" borderId="12" xfId="0" applyNumberFormat="1" applyFont="1" applyFill="1" applyBorder="1" applyAlignment="1" applyProtection="1">
      <alignment horizontal="right" vertical="center"/>
      <protection/>
    </xf>
    <xf numFmtId="49" fontId="2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2" fillId="33" borderId="12" xfId="0" applyNumberFormat="1" applyFont="1" applyFill="1" applyBorder="1" applyAlignment="1" applyProtection="1">
      <alignment horizontal="right" vertical="center"/>
      <protection/>
    </xf>
    <xf numFmtId="4" fontId="2" fillId="33" borderId="0" xfId="0" applyNumberFormat="1" applyFont="1" applyFill="1" applyBorder="1" applyAlignment="1" applyProtection="1">
      <alignment horizontal="right" vertical="center"/>
      <protection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23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2" fillId="0" borderId="24" xfId="0" applyNumberFormat="1" applyFont="1" applyFill="1" applyBorder="1" applyAlignment="1" applyProtection="1">
      <alignment horizontal="left" vertical="center"/>
      <protection/>
    </xf>
    <xf numFmtId="49" fontId="2" fillId="0" borderId="25" xfId="0" applyNumberFormat="1" applyFont="1" applyFill="1" applyBorder="1" applyAlignment="1" applyProtection="1">
      <alignment horizontal="left" vertical="center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5" fillId="33" borderId="27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 wrapText="1"/>
    </xf>
    <xf numFmtId="0" fontId="1" fillId="0" borderId="13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vertical="center" wrapText="1"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vertical="center"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47" applyFont="1">
      <alignment/>
      <protection/>
    </xf>
    <xf numFmtId="0" fontId="12" fillId="0" borderId="0" xfId="47" applyFont="1" applyAlignment="1">
      <alignment horizontal="centerContinuous"/>
      <protection/>
    </xf>
    <xf numFmtId="0" fontId="13" fillId="0" borderId="0" xfId="47" applyFont="1" applyAlignment="1">
      <alignment horizontal="centerContinuous"/>
      <protection/>
    </xf>
    <xf numFmtId="0" fontId="13" fillId="0" borderId="0" xfId="47" applyFont="1" applyAlignment="1">
      <alignment horizontal="right"/>
      <protection/>
    </xf>
    <xf numFmtId="0" fontId="14" fillId="0" borderId="31" xfId="47" applyFont="1" applyBorder="1">
      <alignment/>
      <protection/>
    </xf>
    <xf numFmtId="0" fontId="0" fillId="0" borderId="31" xfId="47" applyFont="1" applyBorder="1">
      <alignment/>
      <protection/>
    </xf>
    <xf numFmtId="0" fontId="0" fillId="0" borderId="32" xfId="47" applyFont="1" applyBorder="1">
      <alignment/>
      <protection/>
    </xf>
    <xf numFmtId="0" fontId="14" fillId="0" borderId="33" xfId="47" applyFont="1" applyBorder="1">
      <alignment/>
      <protection/>
    </xf>
    <xf numFmtId="0" fontId="0" fillId="0" borderId="33" xfId="47" applyFont="1" applyBorder="1">
      <alignment/>
      <protection/>
    </xf>
    <xf numFmtId="0" fontId="0" fillId="0" borderId="34" xfId="47" applyFont="1" applyBorder="1">
      <alignment/>
      <protection/>
    </xf>
    <xf numFmtId="0" fontId="0" fillId="0" borderId="31" xfId="0" applyNumberFormat="1" applyFont="1" applyBorder="1" applyAlignment="1">
      <alignment horizontal="left"/>
    </xf>
    <xf numFmtId="0" fontId="0" fillId="0" borderId="3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5" xfId="47" applyFont="1" applyBorder="1" applyAlignment="1">
      <alignment horizontal="left"/>
      <protection/>
    </xf>
    <xf numFmtId="0" fontId="0" fillId="0" borderId="33" xfId="47" applyFont="1" applyBorder="1" applyAlignment="1">
      <alignment horizontal="left"/>
      <protection/>
    </xf>
    <xf numFmtId="0" fontId="0" fillId="0" borderId="36" xfId="47" applyFont="1" applyBorder="1" applyAlignment="1">
      <alignment horizontal="left"/>
      <protection/>
    </xf>
    <xf numFmtId="0" fontId="0" fillId="0" borderId="37" xfId="0" applyFont="1" applyBorder="1" applyAlignment="1">
      <alignment/>
    </xf>
    <xf numFmtId="0" fontId="0" fillId="0" borderId="31" xfId="0" applyFont="1" applyBorder="1" applyAlignment="1">
      <alignment/>
    </xf>
    <xf numFmtId="49" fontId="0" fillId="0" borderId="0" xfId="47" applyNumberFormat="1" applyFont="1" applyBorder="1" applyAlignment="1">
      <alignment horizontal="center"/>
      <protection/>
    </xf>
    <xf numFmtId="0" fontId="0" fillId="0" borderId="0" xfId="47" applyFont="1" applyBorder="1">
      <alignment/>
      <protection/>
    </xf>
    <xf numFmtId="0" fontId="0" fillId="0" borderId="0" xfId="47" applyFont="1" applyBorder="1" applyAlignment="1">
      <alignment horizontal="center" shrinkToFit="1"/>
      <protection/>
    </xf>
    <xf numFmtId="0" fontId="0" fillId="0" borderId="33" xfId="0" applyFont="1" applyBorder="1" applyAlignment="1">
      <alignment/>
    </xf>
    <xf numFmtId="0" fontId="0" fillId="0" borderId="36" xfId="47" applyFont="1" applyBorder="1">
      <alignment/>
      <protection/>
    </xf>
    <xf numFmtId="0" fontId="0" fillId="0" borderId="31" xfId="0" applyNumberFormat="1" applyFont="1" applyBorder="1" applyAlignment="1">
      <alignment/>
    </xf>
    <xf numFmtId="0" fontId="0" fillId="0" borderId="38" xfId="47" applyFont="1" applyBorder="1" applyAlignment="1">
      <alignment horizontal="center" shrinkToFit="1"/>
      <protection/>
    </xf>
    <xf numFmtId="0" fontId="0" fillId="0" borderId="0" xfId="47" applyFont="1" applyBorder="1" applyAlignment="1">
      <alignment horizontal="center"/>
      <protection/>
    </xf>
    <xf numFmtId="0" fontId="14" fillId="0" borderId="38" xfId="47" applyFont="1" applyBorder="1">
      <alignment/>
      <protection/>
    </xf>
    <xf numFmtId="0" fontId="15" fillId="0" borderId="39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40" xfId="0" applyFont="1" applyBorder="1" applyAlignment="1">
      <alignment horizontal="left"/>
    </xf>
    <xf numFmtId="0" fontId="14" fillId="0" borderId="41" xfId="0" applyFont="1" applyBorder="1" applyAlignment="1">
      <alignment/>
    </xf>
    <xf numFmtId="49" fontId="15" fillId="0" borderId="40" xfId="0" applyNumberFormat="1" applyFont="1" applyBorder="1" applyAlignment="1">
      <alignment horizontal="left"/>
    </xf>
    <xf numFmtId="49" fontId="14" fillId="34" borderId="41" xfId="0" applyNumberFormat="1" applyFont="1" applyFill="1" applyBorder="1" applyAlignment="1">
      <alignment/>
    </xf>
    <xf numFmtId="49" fontId="0" fillId="34" borderId="39" xfId="0" applyNumberFormat="1" applyFont="1" applyFill="1" applyBorder="1" applyAlignment="1">
      <alignment/>
    </xf>
    <xf numFmtId="0" fontId="15" fillId="0" borderId="27" xfId="0" applyFont="1" applyFill="1" applyBorder="1" applyAlignment="1">
      <alignment/>
    </xf>
    <xf numFmtId="3" fontId="15" fillId="0" borderId="40" xfId="0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49" fontId="15" fillId="0" borderId="27" xfId="0" applyNumberFormat="1" applyFont="1" applyBorder="1" applyAlignment="1">
      <alignment horizontal="left"/>
    </xf>
    <xf numFmtId="0" fontId="15" fillId="0" borderId="27" xfId="0" applyNumberFormat="1" applyFont="1" applyBorder="1" applyAlignment="1">
      <alignment/>
    </xf>
    <xf numFmtId="0" fontId="15" fillId="0" borderId="27" xfId="0" applyFont="1" applyFill="1" applyBorder="1" applyAlignment="1">
      <alignment/>
    </xf>
    <xf numFmtId="0" fontId="15" fillId="0" borderId="27" xfId="0" applyFont="1" applyBorder="1" applyAlignment="1">
      <alignment/>
    </xf>
    <xf numFmtId="3" fontId="0" fillId="0" borderId="0" xfId="0" applyNumberFormat="1" applyFont="1" applyAlignment="1">
      <alignment/>
    </xf>
    <xf numFmtId="0" fontId="15" fillId="0" borderId="41" xfId="0" applyFont="1" applyBorder="1" applyAlignment="1">
      <alignment/>
    </xf>
    <xf numFmtId="0" fontId="0" fillId="0" borderId="27" xfId="0" applyFont="1" applyBorder="1" applyAlignment="1">
      <alignment/>
    </xf>
    <xf numFmtId="0" fontId="17" fillId="34" borderId="27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14" fillId="34" borderId="42" xfId="0" applyFont="1" applyFill="1" applyBorder="1" applyAlignment="1">
      <alignment horizontal="left"/>
    </xf>
    <xf numFmtId="0" fontId="15" fillId="34" borderId="43" xfId="0" applyFont="1" applyFill="1" applyBorder="1" applyAlignment="1">
      <alignment horizontal="centerContinuous"/>
    </xf>
    <xf numFmtId="0" fontId="17" fillId="34" borderId="43" xfId="0" applyFont="1" applyFill="1" applyBorder="1" applyAlignment="1">
      <alignment horizontal="left"/>
    </xf>
    <xf numFmtId="0" fontId="0" fillId="0" borderId="44" xfId="0" applyFont="1" applyBorder="1" applyAlignment="1">
      <alignment/>
    </xf>
    <xf numFmtId="0" fontId="15" fillId="0" borderId="40" xfId="0" applyNumberFormat="1" applyFont="1" applyBorder="1" applyAlignment="1">
      <alignment horizontal="left"/>
    </xf>
    <xf numFmtId="0" fontId="15" fillId="0" borderId="40" xfId="0" applyFont="1" applyFill="1" applyBorder="1" applyAlignment="1">
      <alignment/>
    </xf>
    <xf numFmtId="0" fontId="15" fillId="0" borderId="40" xfId="0" applyFont="1" applyBorder="1" applyAlignment="1">
      <alignment/>
    </xf>
    <xf numFmtId="0" fontId="0" fillId="0" borderId="19" xfId="0" applyFont="1" applyBorder="1" applyAlignment="1">
      <alignment/>
    </xf>
    <xf numFmtId="0" fontId="15" fillId="0" borderId="19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49" fontId="2" fillId="0" borderId="45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4" fontId="1" fillId="0" borderId="27" xfId="0" applyNumberFormat="1" applyFont="1" applyFill="1" applyBorder="1" applyAlignment="1" applyProtection="1">
      <alignment horizontal="right" vertical="center"/>
      <protection/>
    </xf>
    <xf numFmtId="49" fontId="2" fillId="0" borderId="46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right" vertical="center"/>
      <protection/>
    </xf>
    <xf numFmtId="4" fontId="2" fillId="33" borderId="3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justify"/>
    </xf>
    <xf numFmtId="0" fontId="15" fillId="0" borderId="47" xfId="0" applyFont="1" applyBorder="1" applyAlignment="1">
      <alignment/>
    </xf>
    <xf numFmtId="0" fontId="15" fillId="0" borderId="48" xfId="0" applyFont="1" applyBorder="1" applyAlignment="1">
      <alignment/>
    </xf>
    <xf numFmtId="0" fontId="14" fillId="0" borderId="0" xfId="47" applyFont="1" applyBorder="1">
      <alignment/>
      <protection/>
    </xf>
    <xf numFmtId="0" fontId="0" fillId="0" borderId="0" xfId="47" applyFont="1" applyBorder="1" applyAlignment="1">
      <alignment horizontal="left"/>
      <protection/>
    </xf>
    <xf numFmtId="49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49" fontId="4" fillId="0" borderId="26" xfId="0" applyNumberFormat="1" applyFont="1" applyFill="1" applyBorder="1" applyAlignment="1" applyProtection="1">
      <alignment horizontal="left" vertical="center"/>
      <protection/>
    </xf>
    <xf numFmtId="0" fontId="15" fillId="0" borderId="19" xfId="0" applyFont="1" applyBorder="1" applyAlignment="1">
      <alignment horizontal="center"/>
    </xf>
    <xf numFmtId="0" fontId="16" fillId="0" borderId="49" xfId="0" applyFont="1" applyBorder="1" applyAlignment="1">
      <alignment horizontal="center" vertical="top"/>
    </xf>
    <xf numFmtId="0" fontId="14" fillId="0" borderId="0" xfId="0" applyFont="1" applyAlignment="1">
      <alignment horizontal="left" vertical="top" wrapText="1"/>
    </xf>
    <xf numFmtId="0" fontId="17" fillId="0" borderId="27" xfId="0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49" fontId="1" fillId="0" borderId="50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51" xfId="0" applyNumberFormat="1" applyFont="1" applyFill="1" applyBorder="1" applyAlignment="1" applyProtection="1">
      <alignment horizontal="left" vertical="center"/>
      <protection/>
    </xf>
    <xf numFmtId="49" fontId="1" fillId="0" borderId="5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53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54" xfId="0" applyNumberFormat="1" applyFont="1" applyFill="1" applyBorder="1" applyAlignment="1" applyProtection="1">
      <alignment horizontal="left" vertical="center"/>
      <protection/>
    </xf>
    <xf numFmtId="49" fontId="2" fillId="33" borderId="55" xfId="0" applyNumberFormat="1" applyFont="1" applyFill="1" applyBorder="1" applyAlignment="1" applyProtection="1">
      <alignment horizontal="left" vertical="center"/>
      <protection/>
    </xf>
    <xf numFmtId="49" fontId="2" fillId="33" borderId="28" xfId="0" applyNumberFormat="1" applyFont="1" applyFill="1" applyBorder="1" applyAlignment="1" applyProtection="1">
      <alignment horizontal="left" vertical="center"/>
      <protection/>
    </xf>
    <xf numFmtId="49" fontId="1" fillId="0" borderId="55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49" fontId="2" fillId="0" borderId="55" xfId="0" applyNumberFormat="1" applyFont="1" applyFill="1" applyBorder="1" applyAlignment="1" applyProtection="1">
      <alignment horizontal="left" vertical="center"/>
      <protection/>
    </xf>
    <xf numFmtId="0" fontId="2" fillId="0" borderId="39" xfId="0" applyNumberFormat="1" applyFont="1" applyFill="1" applyBorder="1" applyAlignment="1" applyProtection="1">
      <alignment horizontal="left" vertical="center"/>
      <protection/>
    </xf>
    <xf numFmtId="0" fontId="2" fillId="33" borderId="28" xfId="0" applyNumberFormat="1" applyFont="1" applyFill="1" applyBorder="1" applyAlignment="1" applyProtection="1">
      <alignment horizontal="left" vertical="center"/>
      <protection/>
    </xf>
    <xf numFmtId="49" fontId="6" fillId="0" borderId="55" xfId="0" applyNumberFormat="1" applyFont="1" applyFill="1" applyBorder="1" applyAlignment="1" applyProtection="1">
      <alignment horizontal="left" vertical="center"/>
      <protection/>
    </xf>
    <xf numFmtId="0" fontId="6" fillId="0" borderId="39" xfId="0" applyNumberFormat="1" applyFont="1" applyFill="1" applyBorder="1" applyAlignment="1" applyProtection="1">
      <alignment horizontal="left" vertical="center"/>
      <protection/>
    </xf>
    <xf numFmtId="0" fontId="16" fillId="0" borderId="56" xfId="0" applyFont="1" applyBorder="1" applyAlignment="1">
      <alignment horizontal="center" vertical="center"/>
    </xf>
    <xf numFmtId="0" fontId="0" fillId="0" borderId="57" xfId="47" applyFont="1" applyBorder="1" applyAlignment="1">
      <alignment horizontal="center"/>
      <protection/>
    </xf>
    <xf numFmtId="0" fontId="0" fillId="0" borderId="37" xfId="47" applyFont="1" applyBorder="1" applyAlignment="1">
      <alignment horizontal="center"/>
      <protection/>
    </xf>
    <xf numFmtId="0" fontId="0" fillId="0" borderId="58" xfId="47" applyFont="1" applyBorder="1" applyAlignment="1">
      <alignment horizontal="center"/>
      <protection/>
    </xf>
    <xf numFmtId="0" fontId="0" fillId="0" borderId="59" xfId="47" applyFont="1" applyBorder="1" applyAlignment="1">
      <alignment horizontal="center"/>
      <protection/>
    </xf>
    <xf numFmtId="0" fontId="10" fillId="0" borderId="0" xfId="47" applyFont="1" applyAlignment="1">
      <alignment horizontal="center"/>
      <protection/>
    </xf>
    <xf numFmtId="49" fontId="2" fillId="33" borderId="0" xfId="0" applyNumberFormat="1" applyFont="1" applyFill="1" applyBorder="1" applyAlignment="1" applyProtection="1">
      <alignment horizontal="left" vertical="center"/>
      <protection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60" xfId="0" applyNumberFormat="1" applyFont="1" applyFill="1" applyBorder="1" applyAlignment="1" applyProtection="1">
      <alignment horizontal="center" vertical="center"/>
      <protection/>
    </xf>
    <xf numFmtId="0" fontId="2" fillId="0" borderId="61" xfId="0" applyNumberFormat="1" applyFont="1" applyFill="1" applyBorder="1" applyAlignment="1" applyProtection="1">
      <alignment horizontal="center" vertical="center"/>
      <protection/>
    </xf>
    <xf numFmtId="0" fontId="2" fillId="0" borderId="62" xfId="0" applyNumberFormat="1" applyFont="1" applyFill="1" applyBorder="1" applyAlignment="1" applyProtection="1">
      <alignment horizontal="center" vertical="center"/>
      <protection/>
    </xf>
    <xf numFmtId="49" fontId="2" fillId="33" borderId="12" xfId="0" applyNumberFormat="1" applyFont="1" applyFill="1" applyBorder="1" applyAlignment="1" applyProtection="1">
      <alignment horizontal="left" vertical="center"/>
      <protection/>
    </xf>
    <xf numFmtId="0" fontId="2" fillId="33" borderId="12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Hyperlink" xfId="36"/>
    <cellStyle name="Chybně" xfId="37"/>
    <cellStyle name="Kontrolní buňka" xfId="38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PCONS~1\AppData\Local\Temp\Rozpo&#269;et%20-%20vz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C5" t="str">
            <v>SO 01 - Heliport</v>
          </cell>
        </row>
        <row r="7">
          <cell r="C7" t="str">
            <v>FN Brno - Heliport HEMS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4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cols>
    <col min="1" max="1" width="9.140625" style="0" customWidth="1"/>
    <col min="2" max="2" width="14.421875" style="0" customWidth="1"/>
    <col min="3" max="3" width="13.28125" style="0" customWidth="1"/>
    <col min="4" max="4" width="8.8515625" style="0" customWidth="1"/>
    <col min="5" max="5" width="8.28125" style="0" customWidth="1"/>
    <col min="6" max="6" width="13.8515625" style="0" customWidth="1"/>
    <col min="7" max="7" width="9.140625" style="0" customWidth="1"/>
    <col min="8" max="8" width="13.7109375" style="0" customWidth="1"/>
    <col min="9" max="9" width="20.8515625" style="0" customWidth="1"/>
  </cols>
  <sheetData>
    <row r="1" spans="1:9" s="71" customFormat="1" ht="24.75" customHeight="1" thickBot="1">
      <c r="A1" s="133" t="s">
        <v>261</v>
      </c>
      <c r="B1" s="133"/>
      <c r="C1" s="133"/>
      <c r="D1" s="133"/>
      <c r="E1" s="133"/>
      <c r="F1" s="133"/>
      <c r="G1" s="133"/>
      <c r="H1" s="133"/>
      <c r="I1" s="133"/>
    </row>
    <row r="2" spans="1:9" s="71" customFormat="1" ht="12.75" customHeight="1">
      <c r="A2" s="106" t="s">
        <v>193</v>
      </c>
      <c r="B2" s="107"/>
      <c r="C2" s="108"/>
      <c r="D2" s="108" t="s">
        <v>192</v>
      </c>
      <c r="E2" s="107"/>
      <c r="F2" s="108"/>
      <c r="G2" s="108"/>
      <c r="H2" s="108"/>
      <c r="I2" s="108"/>
    </row>
    <row r="3" spans="1:9" s="71" customFormat="1" ht="3" customHeight="1" hidden="1">
      <c r="A3" s="109"/>
      <c r="B3" s="88"/>
      <c r="C3" s="88"/>
      <c r="D3" s="88"/>
      <c r="E3" s="88"/>
      <c r="F3" s="103"/>
      <c r="G3" s="103"/>
      <c r="H3" s="88"/>
      <c r="I3" s="89"/>
    </row>
    <row r="4" spans="1:9" s="71" customFormat="1" ht="12" customHeight="1">
      <c r="A4" s="90" t="s">
        <v>48</v>
      </c>
      <c r="B4" s="87"/>
      <c r="C4" s="88" t="s">
        <v>194</v>
      </c>
      <c r="D4" s="88"/>
      <c r="E4" s="88"/>
      <c r="F4" s="103"/>
      <c r="G4" s="103"/>
      <c r="H4" s="88" t="s">
        <v>195</v>
      </c>
      <c r="I4" s="91"/>
    </row>
    <row r="5" spans="1:9" s="71" customFormat="1" ht="12.75" customHeight="1">
      <c r="A5" s="92"/>
      <c r="B5" s="93"/>
      <c r="C5" s="104" t="s">
        <v>196</v>
      </c>
      <c r="D5" s="105"/>
      <c r="E5" s="105"/>
      <c r="F5" s="105"/>
      <c r="G5" s="105"/>
      <c r="H5" s="88" t="s">
        <v>197</v>
      </c>
      <c r="I5" s="89"/>
    </row>
    <row r="6" spans="1:15" s="71" customFormat="1" ht="12.75" customHeight="1">
      <c r="A6" s="90" t="s">
        <v>198</v>
      </c>
      <c r="B6" s="87"/>
      <c r="C6" s="88" t="s">
        <v>199</v>
      </c>
      <c r="D6" s="88"/>
      <c r="E6" s="88"/>
      <c r="F6" s="103"/>
      <c r="G6" s="103"/>
      <c r="H6" s="94" t="s">
        <v>200</v>
      </c>
      <c r="I6" s="95"/>
      <c r="O6" s="96"/>
    </row>
    <row r="7" spans="1:9" s="71" customFormat="1" ht="12.75" customHeight="1">
      <c r="A7" s="92"/>
      <c r="B7" s="93"/>
      <c r="C7" s="104" t="s">
        <v>201</v>
      </c>
      <c r="D7" s="105"/>
      <c r="E7" s="105"/>
      <c r="F7" s="105"/>
      <c r="G7" s="105"/>
      <c r="H7" s="97" t="s">
        <v>202</v>
      </c>
      <c r="I7" s="95"/>
    </row>
    <row r="8" spans="1:9" s="71" customFormat="1" ht="12.75">
      <c r="A8" s="102" t="s">
        <v>140</v>
      </c>
      <c r="B8" s="87"/>
      <c r="C8" s="135" t="s">
        <v>167</v>
      </c>
      <c r="D8" s="135"/>
      <c r="E8" s="135"/>
      <c r="F8" s="103"/>
      <c r="G8" s="103"/>
      <c r="H8" s="98" t="s">
        <v>203</v>
      </c>
      <c r="I8" s="110"/>
    </row>
    <row r="9" spans="1:9" s="71" customFormat="1" ht="12.75">
      <c r="A9" s="102" t="s">
        <v>204</v>
      </c>
      <c r="B9" s="87"/>
      <c r="C9" s="136"/>
      <c r="D9" s="136"/>
      <c r="E9" s="136"/>
      <c r="F9" s="103"/>
      <c r="G9" s="103"/>
      <c r="H9" s="88"/>
      <c r="I9" s="89"/>
    </row>
    <row r="10" spans="1:9" s="71" customFormat="1" ht="12.75">
      <c r="A10" s="102" t="s">
        <v>149</v>
      </c>
      <c r="B10" s="87"/>
      <c r="C10" s="135" t="s">
        <v>205</v>
      </c>
      <c r="D10" s="135"/>
      <c r="E10" s="135"/>
      <c r="F10" s="103"/>
      <c r="G10" s="103"/>
      <c r="H10" s="99"/>
      <c r="I10" s="111"/>
    </row>
    <row r="11" spans="1:57" s="71" customFormat="1" ht="13.5" customHeight="1">
      <c r="A11" s="102" t="s">
        <v>206</v>
      </c>
      <c r="B11" s="87"/>
      <c r="C11" s="136"/>
      <c r="D11" s="136"/>
      <c r="E11" s="136"/>
      <c r="F11" s="103"/>
      <c r="G11" s="103"/>
      <c r="H11" s="100" t="s">
        <v>207</v>
      </c>
      <c r="I11" s="112"/>
      <c r="BA11" s="101"/>
      <c r="BB11" s="101"/>
      <c r="BC11" s="101"/>
      <c r="BD11" s="101"/>
      <c r="BE11" s="101"/>
    </row>
    <row r="12" spans="1:9" s="71" customFormat="1" ht="12.75" customHeight="1" thickBot="1">
      <c r="A12" s="124" t="s">
        <v>208</v>
      </c>
      <c r="B12" s="125"/>
      <c r="C12" s="132"/>
      <c r="D12" s="132"/>
      <c r="E12" s="132"/>
      <c r="F12" s="113"/>
      <c r="G12" s="113"/>
      <c r="H12" s="114" t="s">
        <v>209</v>
      </c>
      <c r="I12" s="115"/>
    </row>
    <row r="13" spans="1:9" ht="28.5" customHeight="1" thickBot="1">
      <c r="A13" s="155" t="s">
        <v>210</v>
      </c>
      <c r="B13" s="155"/>
      <c r="C13" s="155"/>
      <c r="D13" s="155"/>
      <c r="E13" s="155"/>
      <c r="F13" s="155"/>
      <c r="G13" s="155"/>
      <c r="H13" s="155"/>
      <c r="I13" s="155"/>
    </row>
    <row r="14" spans="1:10" ht="26.25" customHeight="1">
      <c r="A14" s="42" t="s">
        <v>132</v>
      </c>
      <c r="B14" s="153" t="s">
        <v>142</v>
      </c>
      <c r="C14" s="154"/>
      <c r="D14" s="42" t="s">
        <v>144</v>
      </c>
      <c r="E14" s="153" t="s">
        <v>150</v>
      </c>
      <c r="F14" s="154"/>
      <c r="G14" s="42" t="s">
        <v>151</v>
      </c>
      <c r="H14" s="153" t="s">
        <v>162</v>
      </c>
      <c r="I14" s="154"/>
      <c r="J14" s="23"/>
    </row>
    <row r="15" spans="1:10" ht="15" customHeight="1">
      <c r="A15" s="116" t="s">
        <v>133</v>
      </c>
      <c r="B15" s="117" t="s">
        <v>143</v>
      </c>
      <c r="C15" s="118">
        <f>SUM(Položky!R8:R92)</f>
        <v>0</v>
      </c>
      <c r="D15" s="148" t="s">
        <v>145</v>
      </c>
      <c r="E15" s="149"/>
      <c r="F15" s="118">
        <v>0</v>
      </c>
      <c r="G15" s="148" t="s">
        <v>152</v>
      </c>
      <c r="H15" s="149"/>
      <c r="I15" s="118">
        <v>0</v>
      </c>
      <c r="J15" s="23"/>
    </row>
    <row r="16" spans="1:10" ht="15" customHeight="1">
      <c r="A16" s="119"/>
      <c r="B16" s="117" t="s">
        <v>113</v>
      </c>
      <c r="C16" s="118">
        <f>SUM(Položky!S8:S92)</f>
        <v>0</v>
      </c>
      <c r="D16" s="148" t="s">
        <v>146</v>
      </c>
      <c r="E16" s="149"/>
      <c r="F16" s="118">
        <v>0</v>
      </c>
      <c r="G16" s="148" t="s">
        <v>153</v>
      </c>
      <c r="H16" s="149"/>
      <c r="I16" s="118">
        <v>0</v>
      </c>
      <c r="J16" s="23"/>
    </row>
    <row r="17" spans="1:10" ht="15" customHeight="1">
      <c r="A17" s="116" t="s">
        <v>134</v>
      </c>
      <c r="B17" s="117" t="s">
        <v>143</v>
      </c>
      <c r="C17" s="118">
        <f>ROUND(SUM(Položky!T8:T92),0)</f>
        <v>123635</v>
      </c>
      <c r="D17" s="148" t="s">
        <v>147</v>
      </c>
      <c r="E17" s="149"/>
      <c r="F17" s="118">
        <v>0</v>
      </c>
      <c r="G17" s="148" t="s">
        <v>154</v>
      </c>
      <c r="H17" s="149"/>
      <c r="I17" s="118">
        <v>0</v>
      </c>
      <c r="J17" s="23"/>
    </row>
    <row r="18" spans="1:10" ht="15" customHeight="1">
      <c r="A18" s="119"/>
      <c r="B18" s="117" t="s">
        <v>113</v>
      </c>
      <c r="C18" s="118">
        <f>ROUND(SUM(Položky!U8:U92),0)</f>
        <v>54154</v>
      </c>
      <c r="D18" s="148"/>
      <c r="E18" s="149"/>
      <c r="F18" s="120"/>
      <c r="G18" s="148" t="s">
        <v>155</v>
      </c>
      <c r="H18" s="149"/>
      <c r="I18" s="118">
        <v>0</v>
      </c>
      <c r="J18" s="23"/>
    </row>
    <row r="19" spans="1:10" ht="15" customHeight="1">
      <c r="A19" s="116" t="s">
        <v>135</v>
      </c>
      <c r="B19" s="117" t="s">
        <v>143</v>
      </c>
      <c r="C19" s="118">
        <f>SUM(Položky!V8:V92)</f>
        <v>0</v>
      </c>
      <c r="D19" s="148"/>
      <c r="E19" s="149"/>
      <c r="F19" s="120"/>
      <c r="G19" s="148" t="s">
        <v>156</v>
      </c>
      <c r="H19" s="149"/>
      <c r="I19" s="118">
        <v>0</v>
      </c>
      <c r="J19" s="23"/>
    </row>
    <row r="20" spans="1:10" ht="15" customHeight="1">
      <c r="A20" s="119"/>
      <c r="B20" s="117" t="s">
        <v>113</v>
      </c>
      <c r="C20" s="118">
        <f>SUM(Položky!W8:W92)</f>
        <v>0</v>
      </c>
      <c r="D20" s="148"/>
      <c r="E20" s="149"/>
      <c r="F20" s="120"/>
      <c r="G20" s="148" t="s">
        <v>157</v>
      </c>
      <c r="H20" s="149"/>
      <c r="I20" s="118">
        <v>0</v>
      </c>
      <c r="J20" s="23"/>
    </row>
    <row r="21" spans="1:10" ht="15" customHeight="1">
      <c r="A21" s="150" t="s">
        <v>136</v>
      </c>
      <c r="B21" s="151"/>
      <c r="C21" s="118">
        <f>SUM(Položky!X8:X92)</f>
        <v>0</v>
      </c>
      <c r="D21" s="148"/>
      <c r="E21" s="149"/>
      <c r="F21" s="120"/>
      <c r="G21" s="148"/>
      <c r="H21" s="149"/>
      <c r="I21" s="120"/>
      <c r="J21" s="23"/>
    </row>
    <row r="22" spans="1:10" ht="15" customHeight="1">
      <c r="A22" s="150" t="s">
        <v>137</v>
      </c>
      <c r="B22" s="151"/>
      <c r="C22" s="118">
        <f>ROUND(SUM(Položky!P8:P92),0)</f>
        <v>495</v>
      </c>
      <c r="D22" s="148"/>
      <c r="E22" s="149"/>
      <c r="F22" s="120"/>
      <c r="G22" s="148"/>
      <c r="H22" s="149"/>
      <c r="I22" s="120"/>
      <c r="J22" s="23"/>
    </row>
    <row r="23" spans="1:10" ht="16.5" customHeight="1">
      <c r="A23" s="150" t="s">
        <v>138</v>
      </c>
      <c r="B23" s="151"/>
      <c r="C23" s="118">
        <f>SUM(C15:C22)</f>
        <v>178284</v>
      </c>
      <c r="D23" s="150" t="s">
        <v>148</v>
      </c>
      <c r="E23" s="151"/>
      <c r="F23" s="118">
        <f>SUM(F15:F22)</f>
        <v>0</v>
      </c>
      <c r="G23" s="150" t="s">
        <v>158</v>
      </c>
      <c r="H23" s="151"/>
      <c r="I23" s="118">
        <f>SUM(I15:I22)</f>
        <v>0</v>
      </c>
      <c r="J23" s="23"/>
    </row>
    <row r="24" spans="1:9" ht="12.75">
      <c r="A24" s="43"/>
      <c r="B24" s="43"/>
      <c r="C24" s="43"/>
      <c r="D24" s="7"/>
      <c r="E24" s="7"/>
      <c r="F24" s="7"/>
      <c r="G24" s="7"/>
      <c r="H24" s="7"/>
      <c r="I24" s="7"/>
    </row>
    <row r="25" spans="1:9" ht="15" customHeight="1">
      <c r="A25" s="146" t="s">
        <v>139</v>
      </c>
      <c r="B25" s="152"/>
      <c r="C25" s="121">
        <f>SUM(Položky!Z8:Z92)</f>
        <v>0</v>
      </c>
      <c r="D25" s="45"/>
      <c r="E25" s="39"/>
      <c r="F25" s="39"/>
      <c r="G25" s="39"/>
      <c r="H25" s="39"/>
      <c r="I25" s="39"/>
    </row>
    <row r="26" spans="1:10" ht="15" customHeight="1">
      <c r="A26" s="146" t="s">
        <v>262</v>
      </c>
      <c r="B26" s="147"/>
      <c r="C26" s="121">
        <v>0</v>
      </c>
      <c r="D26" s="146" t="s">
        <v>264</v>
      </c>
      <c r="E26" s="147"/>
      <c r="F26" s="121">
        <f>ROUND(C26*(15/100),0)</f>
        <v>0</v>
      </c>
      <c r="G26" s="146" t="s">
        <v>159</v>
      </c>
      <c r="H26" s="147"/>
      <c r="I26" s="121">
        <f>SUM(C25:C27)</f>
        <v>178284</v>
      </c>
      <c r="J26" s="23"/>
    </row>
    <row r="27" spans="1:10" ht="15" customHeight="1">
      <c r="A27" s="146" t="s">
        <v>263</v>
      </c>
      <c r="B27" s="147"/>
      <c r="C27" s="121">
        <f>C23</f>
        <v>178284</v>
      </c>
      <c r="D27" s="146" t="s">
        <v>265</v>
      </c>
      <c r="E27" s="147"/>
      <c r="F27" s="121">
        <f>ROUND(C27*(21/100),0)</f>
        <v>37440</v>
      </c>
      <c r="G27" s="146" t="s">
        <v>160</v>
      </c>
      <c r="H27" s="147"/>
      <c r="I27" s="121">
        <f>SUM(F26:F27)+I26</f>
        <v>215724</v>
      </c>
      <c r="J27" s="23"/>
    </row>
    <row r="28" spans="1:9" ht="13.5" thickBot="1">
      <c r="A28" s="44"/>
      <c r="B28" s="44"/>
      <c r="C28" s="44"/>
      <c r="D28" s="44"/>
      <c r="E28" s="44"/>
      <c r="F28" s="44"/>
      <c r="G28" s="44"/>
      <c r="H28" s="44"/>
      <c r="I28" s="44"/>
    </row>
    <row r="29" spans="1:10" ht="14.25" customHeight="1">
      <c r="A29" s="140" t="s">
        <v>140</v>
      </c>
      <c r="B29" s="141"/>
      <c r="C29" s="142"/>
      <c r="D29" s="140" t="s">
        <v>149</v>
      </c>
      <c r="E29" s="141"/>
      <c r="F29" s="142"/>
      <c r="G29" s="140" t="s">
        <v>161</v>
      </c>
      <c r="H29" s="141"/>
      <c r="I29" s="142"/>
      <c r="J29" s="24"/>
    </row>
    <row r="30" spans="1:10" ht="14.25" customHeight="1">
      <c r="A30" s="143"/>
      <c r="B30" s="144"/>
      <c r="C30" s="145"/>
      <c r="D30" s="143"/>
      <c r="E30" s="144"/>
      <c r="F30" s="145"/>
      <c r="G30" s="143"/>
      <c r="H30" s="144"/>
      <c r="I30" s="145"/>
      <c r="J30" s="24"/>
    </row>
    <row r="31" spans="1:10" ht="14.25" customHeight="1">
      <c r="A31" s="143"/>
      <c r="B31" s="144"/>
      <c r="C31" s="145"/>
      <c r="D31" s="143"/>
      <c r="E31" s="144"/>
      <c r="F31" s="145"/>
      <c r="G31" s="143"/>
      <c r="H31" s="144"/>
      <c r="I31" s="145"/>
      <c r="J31" s="24"/>
    </row>
    <row r="32" spans="1:10" ht="14.25" customHeight="1">
      <c r="A32" s="143"/>
      <c r="B32" s="144"/>
      <c r="C32" s="145"/>
      <c r="D32" s="143"/>
      <c r="E32" s="144"/>
      <c r="F32" s="145"/>
      <c r="G32" s="143"/>
      <c r="H32" s="144"/>
      <c r="I32" s="145"/>
      <c r="J32" s="24"/>
    </row>
    <row r="33" spans="1:10" ht="14.25" customHeight="1">
      <c r="A33" s="137" t="s">
        <v>141</v>
      </c>
      <c r="B33" s="138"/>
      <c r="C33" s="139"/>
      <c r="D33" s="137" t="s">
        <v>141</v>
      </c>
      <c r="E33" s="138"/>
      <c r="F33" s="139"/>
      <c r="G33" s="137" t="s">
        <v>141</v>
      </c>
      <c r="H33" s="138"/>
      <c r="I33" s="139"/>
      <c r="J33" s="24"/>
    </row>
    <row r="34" spans="1:9" ht="12.75">
      <c r="A34" s="41"/>
      <c r="B34" s="41"/>
      <c r="C34" s="41"/>
      <c r="D34" s="41"/>
      <c r="E34" s="41"/>
      <c r="F34" s="41"/>
      <c r="G34" s="41"/>
      <c r="H34" s="41"/>
      <c r="I34" s="41"/>
    </row>
    <row r="35" spans="1:8" s="71" customFormat="1" ht="12.75">
      <c r="A35" s="122" t="s">
        <v>211</v>
      </c>
      <c r="B35" s="122"/>
      <c r="C35" s="122"/>
      <c r="D35" s="122"/>
      <c r="E35" s="122"/>
      <c r="F35" s="122"/>
      <c r="G35" s="122"/>
      <c r="H35" s="71" t="s">
        <v>0</v>
      </c>
    </row>
    <row r="36" spans="1:8" s="71" customFormat="1" ht="14.25" customHeight="1">
      <c r="A36" s="122"/>
      <c r="B36" s="134" t="s">
        <v>212</v>
      </c>
      <c r="C36" s="134"/>
      <c r="D36" s="134"/>
      <c r="E36" s="134"/>
      <c r="F36" s="134"/>
      <c r="G36" s="134"/>
      <c r="H36" s="71" t="s">
        <v>0</v>
      </c>
    </row>
    <row r="37" spans="1:8" s="71" customFormat="1" ht="12.75" customHeight="1">
      <c r="A37" s="123"/>
      <c r="B37" s="134"/>
      <c r="C37" s="134"/>
      <c r="D37" s="134"/>
      <c r="E37" s="134"/>
      <c r="F37" s="134"/>
      <c r="G37" s="134"/>
      <c r="H37" s="71" t="s">
        <v>0</v>
      </c>
    </row>
    <row r="38" spans="1:8" s="71" customFormat="1" ht="12.75">
      <c r="A38" s="123"/>
      <c r="B38" s="134"/>
      <c r="C38" s="134"/>
      <c r="D38" s="134"/>
      <c r="E38" s="134"/>
      <c r="F38" s="134"/>
      <c r="G38" s="134"/>
      <c r="H38" s="71" t="s">
        <v>0</v>
      </c>
    </row>
    <row r="39" spans="1:8" s="71" customFormat="1" ht="12.75">
      <c r="A39" s="123"/>
      <c r="B39" s="134"/>
      <c r="C39" s="134"/>
      <c r="D39" s="134"/>
      <c r="E39" s="134"/>
      <c r="F39" s="134"/>
      <c r="G39" s="134"/>
      <c r="H39" s="71" t="s">
        <v>0</v>
      </c>
    </row>
    <row r="40" spans="1:8" s="71" customFormat="1" ht="12.75">
      <c r="A40" s="123"/>
      <c r="B40" s="134"/>
      <c r="C40" s="134"/>
      <c r="D40" s="134"/>
      <c r="E40" s="134"/>
      <c r="F40" s="134"/>
      <c r="G40" s="134"/>
      <c r="H40" s="71" t="s">
        <v>0</v>
      </c>
    </row>
    <row r="41" spans="1:8" s="71" customFormat="1" ht="12.75">
      <c r="A41" s="123"/>
      <c r="B41" s="134"/>
      <c r="C41" s="134"/>
      <c r="D41" s="134"/>
      <c r="E41" s="134"/>
      <c r="F41" s="134"/>
      <c r="G41" s="134"/>
      <c r="H41" s="71" t="s">
        <v>0</v>
      </c>
    </row>
    <row r="42" spans="1:8" s="71" customFormat="1" ht="12.75">
      <c r="A42" s="123"/>
      <c r="B42" s="134"/>
      <c r="C42" s="134"/>
      <c r="D42" s="134"/>
      <c r="E42" s="134"/>
      <c r="F42" s="134"/>
      <c r="G42" s="134"/>
      <c r="H42" s="71" t="s">
        <v>0</v>
      </c>
    </row>
    <row r="43" spans="1:8" s="71" customFormat="1" ht="12.75">
      <c r="A43" s="123"/>
      <c r="B43" s="134"/>
      <c r="C43" s="134"/>
      <c r="D43" s="134"/>
      <c r="E43" s="134"/>
      <c r="F43" s="134"/>
      <c r="G43" s="134"/>
      <c r="H43" s="71" t="s">
        <v>0</v>
      </c>
    </row>
    <row r="44" spans="2:7" ht="12.75">
      <c r="B44" s="134"/>
      <c r="C44" s="134"/>
      <c r="D44" s="134"/>
      <c r="E44" s="134"/>
      <c r="F44" s="134"/>
      <c r="G44" s="134"/>
    </row>
  </sheetData>
  <sheetProtection/>
  <mergeCells count="54">
    <mergeCell ref="B14:C14"/>
    <mergeCell ref="E14:F14"/>
    <mergeCell ref="H14:I14"/>
    <mergeCell ref="A13:I13"/>
    <mergeCell ref="A21:B21"/>
    <mergeCell ref="A22:B22"/>
    <mergeCell ref="G15:H15"/>
    <mergeCell ref="G16:H16"/>
    <mergeCell ref="G17:H17"/>
    <mergeCell ref="G18:H18"/>
    <mergeCell ref="A23:B23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G19:H19"/>
    <mergeCell ref="G20:H20"/>
    <mergeCell ref="G21:H21"/>
    <mergeCell ref="G22:H22"/>
    <mergeCell ref="A31:C31"/>
    <mergeCell ref="A32:C32"/>
    <mergeCell ref="G23:H23"/>
    <mergeCell ref="A25:B25"/>
    <mergeCell ref="A26:B26"/>
    <mergeCell ref="A27:B27"/>
    <mergeCell ref="D26:E26"/>
    <mergeCell ref="D27:E27"/>
    <mergeCell ref="G26:H26"/>
    <mergeCell ref="G27:H27"/>
    <mergeCell ref="G31:I31"/>
    <mergeCell ref="G32:I32"/>
    <mergeCell ref="A33:C33"/>
    <mergeCell ref="D29:F29"/>
    <mergeCell ref="D30:F30"/>
    <mergeCell ref="D31:F31"/>
    <mergeCell ref="D32:F32"/>
    <mergeCell ref="D33:F33"/>
    <mergeCell ref="A29:C29"/>
    <mergeCell ref="A30:C30"/>
    <mergeCell ref="C12:E12"/>
    <mergeCell ref="A1:I1"/>
    <mergeCell ref="B36:G44"/>
    <mergeCell ref="C8:E8"/>
    <mergeCell ref="C9:E9"/>
    <mergeCell ref="C10:E10"/>
    <mergeCell ref="C11:E11"/>
    <mergeCell ref="G33:I33"/>
    <mergeCell ref="G29:I29"/>
    <mergeCell ref="G30:I3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view="pageBreakPreview" zoomScale="115" zoomScaleSheetLayoutView="115" zoomScalePageLayoutView="0" workbookViewId="0" topLeftCell="A1">
      <selection activeCell="J1" sqref="J1"/>
    </sheetView>
  </sheetViews>
  <sheetFormatPr defaultColWidth="11.421875" defaultRowHeight="12.75"/>
  <cols>
    <col min="1" max="1" width="16.57421875" style="0" customWidth="1"/>
    <col min="2" max="2" width="4.8515625" style="0" bestFit="1" customWidth="1"/>
    <col min="3" max="3" width="25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12.140625" style="0" hidden="1" customWidth="1"/>
  </cols>
  <sheetData>
    <row r="1" spans="1:7" s="71" customFormat="1" ht="13.5" thickTop="1">
      <c r="A1" s="158" t="s">
        <v>189</v>
      </c>
      <c r="B1" s="159"/>
      <c r="C1" s="63" t="str">
        <f>CONCATENATE(cislostavby," ",nazevstavby)</f>
        <v> FN Brno - Heliport HEMS</v>
      </c>
      <c r="D1" s="77"/>
      <c r="E1" s="68" t="s">
        <v>191</v>
      </c>
      <c r="F1" s="69"/>
      <c r="G1" s="70"/>
    </row>
    <row r="2" spans="1:7" s="71" customFormat="1" ht="13.5" thickBot="1">
      <c r="A2" s="156" t="s">
        <v>190</v>
      </c>
      <c r="B2" s="157"/>
      <c r="C2" s="66" t="str">
        <f>CONCATENATE(cisloobjektu," ",nazevobjektu)</f>
        <v> SO 01 - Heliport</v>
      </c>
      <c r="D2" s="76"/>
      <c r="E2" s="73" t="s">
        <v>192</v>
      </c>
      <c r="F2" s="74"/>
      <c r="G2" s="75"/>
    </row>
    <row r="3" spans="1:7" s="71" customFormat="1" ht="13.5" thickTop="1">
      <c r="A3" s="85"/>
      <c r="B3" s="85"/>
      <c r="C3" s="126"/>
      <c r="D3" s="72"/>
      <c r="E3" s="127"/>
      <c r="F3" s="127"/>
      <c r="G3" s="127"/>
    </row>
    <row r="4" spans="1:9" s="71" customFormat="1" ht="19.5" customHeight="1">
      <c r="A4" s="128" t="s">
        <v>213</v>
      </c>
      <c r="B4" s="129"/>
      <c r="C4" s="129"/>
      <c r="D4" s="129"/>
      <c r="E4" s="130"/>
      <c r="F4" s="129"/>
      <c r="G4" s="129"/>
      <c r="H4" s="129"/>
      <c r="I4" s="129"/>
    </row>
    <row r="5" s="71" customFormat="1" ht="13.5" thickBot="1">
      <c r="F5" s="72"/>
    </row>
    <row r="6" spans="1:8" ht="13.5" thickBot="1">
      <c r="A6" s="32" t="s">
        <v>48</v>
      </c>
      <c r="B6" s="34" t="s">
        <v>49</v>
      </c>
      <c r="C6" s="35" t="s">
        <v>83</v>
      </c>
      <c r="D6" s="36" t="s">
        <v>127</v>
      </c>
      <c r="E6" s="36" t="s">
        <v>128</v>
      </c>
      <c r="F6" s="36" t="s">
        <v>129</v>
      </c>
      <c r="G6" s="40" t="s">
        <v>130</v>
      </c>
      <c r="H6" s="24"/>
    </row>
    <row r="7" spans="1:9" ht="12.75">
      <c r="A7" s="33"/>
      <c r="B7" s="33" t="s">
        <v>50</v>
      </c>
      <c r="C7" s="33" t="s">
        <v>84</v>
      </c>
      <c r="D7" s="37">
        <f>Položky!H8</f>
        <v>4363.43</v>
      </c>
      <c r="E7" s="37">
        <f>Položky!I8</f>
        <v>10919.029999999999</v>
      </c>
      <c r="F7" s="37">
        <f>D7+E7</f>
        <v>15282.46</v>
      </c>
      <c r="G7" s="37">
        <f>Položky!L8</f>
        <v>0</v>
      </c>
      <c r="H7" s="27" t="s">
        <v>131</v>
      </c>
      <c r="I7" s="27">
        <f>IF(H7="T",0,F7)</f>
        <v>15282.46</v>
      </c>
    </row>
    <row r="8" spans="1:9" ht="12.75">
      <c r="A8" s="12"/>
      <c r="B8" s="12" t="s">
        <v>59</v>
      </c>
      <c r="C8" s="12" t="s">
        <v>89</v>
      </c>
      <c r="D8" s="27">
        <f>Položky!H31</f>
        <v>115098.05000000002</v>
      </c>
      <c r="E8" s="27">
        <f>Položky!I31</f>
        <v>22663.929999999997</v>
      </c>
      <c r="F8" s="27">
        <f>D8+E8</f>
        <v>137761.98</v>
      </c>
      <c r="G8" s="27">
        <f>Položky!L31</f>
        <v>1.5E-05</v>
      </c>
      <c r="H8" s="27" t="s">
        <v>131</v>
      </c>
      <c r="I8" s="27">
        <f>IF(H8="T",0,F8)</f>
        <v>137761.98</v>
      </c>
    </row>
    <row r="9" spans="1:9" ht="12.75">
      <c r="A9" s="12"/>
      <c r="B9" s="12" t="s">
        <v>77</v>
      </c>
      <c r="C9" s="12" t="s">
        <v>96</v>
      </c>
      <c r="D9" s="27">
        <f>Položky!H82</f>
        <v>4173.51</v>
      </c>
      <c r="E9" s="27">
        <f>Položky!I82</f>
        <v>21066.26</v>
      </c>
      <c r="F9" s="27">
        <f>D9+E9</f>
        <v>25239.769999999997</v>
      </c>
      <c r="G9" s="27">
        <f>Položky!L82</f>
        <v>0</v>
      </c>
      <c r="H9" s="27" t="s">
        <v>131</v>
      </c>
      <c r="I9" s="27">
        <f>IF(H9="T",0,F9)</f>
        <v>25239.769999999997</v>
      </c>
    </row>
    <row r="11" spans="5:6" ht="12.75">
      <c r="E11" s="38" t="s">
        <v>112</v>
      </c>
      <c r="F11" s="31">
        <f>SUM(F7:F9)</f>
        <v>178284.21</v>
      </c>
    </row>
  </sheetData>
  <sheetProtection/>
  <mergeCells count="2">
    <mergeCell ref="A2:B2"/>
    <mergeCell ref="A1:B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4"/>
  <sheetViews>
    <sheetView tabSelected="1" view="pageBreakPreview" zoomScale="85" zoomScaleNormal="55" zoomScaleSheetLayoutView="85" zoomScalePageLayoutView="0" workbookViewId="0" topLeftCell="A79">
      <selection activeCell="J94" sqref="J94"/>
    </sheetView>
  </sheetViews>
  <sheetFormatPr defaultColWidth="11.421875" defaultRowHeight="12.75"/>
  <cols>
    <col min="1" max="1" width="3.7109375" style="0" customWidth="1"/>
    <col min="2" max="2" width="3.421875" style="0" customWidth="1"/>
    <col min="3" max="3" width="14.140625" style="0" bestFit="1" customWidth="1"/>
    <col min="4" max="4" width="61.7109375" style="52" customWidth="1"/>
    <col min="5" max="5" width="6.57421875" style="0" customWidth="1"/>
    <col min="6" max="6" width="11.57421875" style="0" bestFit="1" customWidth="1"/>
    <col min="7" max="7" width="9.57421875" style="0" bestFit="1" customWidth="1"/>
    <col min="8" max="8" width="10.421875" style="0" bestFit="1" customWidth="1"/>
    <col min="9" max="9" width="10.7109375" style="0" bestFit="1" customWidth="1"/>
    <col min="10" max="10" width="10.421875" style="0" bestFit="1" customWidth="1"/>
    <col min="11" max="11" width="7.7109375" style="0" bestFit="1" customWidth="1"/>
    <col min="12" max="12" width="8.00390625" style="0" bestFit="1" customWidth="1"/>
    <col min="13" max="13" width="11.28125" style="0" customWidth="1"/>
    <col min="14" max="35" width="11.28125" style="0" hidden="1" customWidth="1"/>
    <col min="36" max="36" width="10.140625" style="0" hidden="1" customWidth="1"/>
    <col min="37" max="37" width="4.57421875" style="0" hidden="1" customWidth="1"/>
  </cols>
  <sheetData>
    <row r="1" spans="1:12" s="59" customFormat="1" ht="15.75">
      <c r="A1" s="160" t="s">
        <v>260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2:7" s="59" customFormat="1" ht="14.25" customHeight="1" thickBot="1">
      <c r="B2" s="60"/>
      <c r="C2" s="61"/>
      <c r="D2" s="61"/>
      <c r="E2" s="62"/>
      <c r="F2" s="61"/>
      <c r="G2" s="61"/>
    </row>
    <row r="3" spans="1:12" s="59" customFormat="1" ht="13.5" thickTop="1">
      <c r="A3" s="158" t="s">
        <v>189</v>
      </c>
      <c r="B3" s="159"/>
      <c r="C3" s="63" t="str">
        <f>CONCATENATE(cislostavby," ",nazevstavby)</f>
        <v> FN Brno - Heliport HEMS</v>
      </c>
      <c r="D3" s="77"/>
      <c r="E3" s="64"/>
      <c r="F3" s="64"/>
      <c r="G3" s="64"/>
      <c r="H3" s="64"/>
      <c r="I3" s="68" t="s">
        <v>191</v>
      </c>
      <c r="J3" s="69"/>
      <c r="K3" s="83"/>
      <c r="L3" s="65"/>
    </row>
    <row r="4" spans="1:12" s="59" customFormat="1" ht="13.5" thickBot="1">
      <c r="A4" s="156" t="s">
        <v>190</v>
      </c>
      <c r="B4" s="157"/>
      <c r="C4" s="66" t="str">
        <f>CONCATENATE(cisloobjektu," ",nazevobjektu)</f>
        <v> SO 01 - Heliport</v>
      </c>
      <c r="D4" s="81"/>
      <c r="E4" s="67"/>
      <c r="F4" s="67"/>
      <c r="G4" s="67"/>
      <c r="H4" s="67"/>
      <c r="I4" s="73" t="s">
        <v>192</v>
      </c>
      <c r="J4" s="74"/>
      <c r="K4" s="74"/>
      <c r="L4" s="82"/>
    </row>
    <row r="5" spans="1:7" s="59" customFormat="1" ht="14.25" thickBot="1" thickTop="1">
      <c r="A5" s="78"/>
      <c r="B5" s="85"/>
      <c r="C5" s="86"/>
      <c r="D5" s="79"/>
      <c r="E5" s="84"/>
      <c r="F5" s="80"/>
      <c r="G5" s="80"/>
    </row>
    <row r="6" spans="1:13" ht="12.75">
      <c r="A6" s="1" t="s">
        <v>0</v>
      </c>
      <c r="B6" s="8" t="s">
        <v>0</v>
      </c>
      <c r="C6" s="8" t="s">
        <v>0</v>
      </c>
      <c r="D6" s="46" t="s">
        <v>0</v>
      </c>
      <c r="E6" s="8" t="s">
        <v>0</v>
      </c>
      <c r="F6" s="8" t="s">
        <v>0</v>
      </c>
      <c r="G6" s="16" t="s">
        <v>108</v>
      </c>
      <c r="H6" s="165" t="s">
        <v>110</v>
      </c>
      <c r="I6" s="166"/>
      <c r="J6" s="167"/>
      <c r="K6" s="165" t="s">
        <v>115</v>
      </c>
      <c r="L6" s="167"/>
      <c r="M6" s="24"/>
    </row>
    <row r="7" spans="1:24" ht="12.75">
      <c r="A7" s="2" t="s">
        <v>1</v>
      </c>
      <c r="B7" s="9" t="s">
        <v>48</v>
      </c>
      <c r="C7" s="9" t="s">
        <v>49</v>
      </c>
      <c r="D7" s="47" t="s">
        <v>83</v>
      </c>
      <c r="E7" s="9" t="s">
        <v>101</v>
      </c>
      <c r="F7" s="13" t="s">
        <v>107</v>
      </c>
      <c r="G7" s="17" t="s">
        <v>109</v>
      </c>
      <c r="H7" s="18" t="s">
        <v>111</v>
      </c>
      <c r="I7" s="19" t="s">
        <v>113</v>
      </c>
      <c r="J7" s="20" t="s">
        <v>114</v>
      </c>
      <c r="K7" s="18" t="s">
        <v>108</v>
      </c>
      <c r="L7" s="20" t="s">
        <v>114</v>
      </c>
      <c r="M7" s="24"/>
      <c r="P7" s="22" t="s">
        <v>117</v>
      </c>
      <c r="Q7" s="22" t="s">
        <v>118</v>
      </c>
      <c r="R7" s="22" t="s">
        <v>120</v>
      </c>
      <c r="S7" s="22" t="s">
        <v>121</v>
      </c>
      <c r="T7" s="22" t="s">
        <v>122</v>
      </c>
      <c r="U7" s="22" t="s">
        <v>123</v>
      </c>
      <c r="V7" s="22" t="s">
        <v>124</v>
      </c>
      <c r="W7" s="22" t="s">
        <v>125</v>
      </c>
      <c r="X7" s="22" t="s">
        <v>126</v>
      </c>
    </row>
    <row r="8" spans="1:37" ht="12.75">
      <c r="A8" s="3"/>
      <c r="B8" s="3"/>
      <c r="C8" s="10" t="s">
        <v>50</v>
      </c>
      <c r="D8" s="168" t="s">
        <v>84</v>
      </c>
      <c r="E8" s="169"/>
      <c r="F8" s="169"/>
      <c r="G8" s="169"/>
      <c r="H8" s="28">
        <f>SUM(H9:H29)</f>
        <v>4363.43</v>
      </c>
      <c r="I8" s="28">
        <f>SUM(I9:I29)</f>
        <v>10919.029999999999</v>
      </c>
      <c r="J8" s="28">
        <f>H8+I8</f>
        <v>15282.46</v>
      </c>
      <c r="K8" s="21"/>
      <c r="L8" s="28">
        <f>SUM(L9:L29)</f>
        <v>0</v>
      </c>
      <c r="P8" s="29">
        <f>IF(Q8="PR",J8,SUM(O9:O29))</f>
        <v>208.56</v>
      </c>
      <c r="Q8" s="22" t="s">
        <v>119</v>
      </c>
      <c r="R8" s="29">
        <f>IF(Q8="HS",H8,0)</f>
        <v>0</v>
      </c>
      <c r="S8" s="29">
        <f>IF(Q8="HS",I8-P8,0)</f>
        <v>0</v>
      </c>
      <c r="T8" s="29">
        <f>IF(Q8="PS",H8,0)</f>
        <v>4363.43</v>
      </c>
      <c r="U8" s="29">
        <f>IF(Q8="PS",I8-P8,0)</f>
        <v>10710.47</v>
      </c>
      <c r="V8" s="29">
        <f>IF(Q8="MP",H8,0)</f>
        <v>0</v>
      </c>
      <c r="W8" s="29">
        <f>IF(Q8="MP",I8-P8,0)</f>
        <v>0</v>
      </c>
      <c r="X8" s="29">
        <f>IF(Q8="OM",H8,0)</f>
        <v>0</v>
      </c>
      <c r="Y8" s="22"/>
      <c r="AI8" s="29">
        <f>SUM(Z9:Z29)</f>
        <v>0</v>
      </c>
      <c r="AJ8" s="29">
        <f>SUM(AA9:AA29)</f>
        <v>12552.460000000001</v>
      </c>
      <c r="AK8" s="29">
        <f>SUM(AB9:AB29)</f>
        <v>2730</v>
      </c>
    </row>
    <row r="9" spans="1:32" ht="25.5">
      <c r="A9" s="4" t="s">
        <v>2</v>
      </c>
      <c r="B9" s="4"/>
      <c r="C9" s="4" t="s">
        <v>51</v>
      </c>
      <c r="D9" s="48" t="s">
        <v>187</v>
      </c>
      <c r="E9" s="4" t="s">
        <v>102</v>
      </c>
      <c r="F9" s="14">
        <v>2.3</v>
      </c>
      <c r="G9" s="14">
        <v>144</v>
      </c>
      <c r="H9" s="14">
        <f>ROUND(F9*AE9,2)</f>
        <v>98.35</v>
      </c>
      <c r="I9" s="14">
        <f>J9-H9</f>
        <v>232.85</v>
      </c>
      <c r="J9" s="14">
        <f>ROUND(F9*G9,2)</f>
        <v>331.2</v>
      </c>
      <c r="K9" s="14">
        <v>0</v>
      </c>
      <c r="L9" s="14">
        <f>F9*K9</f>
        <v>0</v>
      </c>
      <c r="N9" s="25" t="s">
        <v>2</v>
      </c>
      <c r="O9" s="14">
        <f>IF(N9="5",I9,0)</f>
        <v>0</v>
      </c>
      <c r="Z9" s="14">
        <f>IF(AD9=0,J9,0)</f>
        <v>0</v>
      </c>
      <c r="AA9" s="14">
        <f>IF(AD9=14,J9,0)</f>
        <v>331.2</v>
      </c>
      <c r="AB9" s="14">
        <f>IF(AD9=20,J9,0)</f>
        <v>0</v>
      </c>
      <c r="AD9" s="27">
        <v>14</v>
      </c>
      <c r="AE9" s="27">
        <f>G9*0.296954491602202</f>
        <v>42.76144679071709</v>
      </c>
      <c r="AF9" s="27">
        <f>G9*(1-0.296954491602202)</f>
        <v>101.23855320928291</v>
      </c>
    </row>
    <row r="10" spans="1:32" ht="12.75">
      <c r="A10" s="4"/>
      <c r="B10" s="4"/>
      <c r="C10" s="4"/>
      <c r="D10" s="48" t="s">
        <v>214</v>
      </c>
      <c r="E10" s="4"/>
      <c r="F10" s="14"/>
      <c r="G10" s="14"/>
      <c r="H10" s="14"/>
      <c r="I10" s="14"/>
      <c r="J10" s="14"/>
      <c r="K10" s="14"/>
      <c r="L10" s="14"/>
      <c r="N10" s="25"/>
      <c r="O10" s="14"/>
      <c r="Z10" s="14"/>
      <c r="AA10" s="14"/>
      <c r="AB10" s="14"/>
      <c r="AD10" s="27"/>
      <c r="AE10" s="27"/>
      <c r="AF10" s="27"/>
    </row>
    <row r="11" spans="1:32" ht="25.5">
      <c r="A11" s="4" t="s">
        <v>3</v>
      </c>
      <c r="B11" s="4"/>
      <c r="C11" s="4" t="s">
        <v>52</v>
      </c>
      <c r="D11" s="48" t="s">
        <v>186</v>
      </c>
      <c r="E11" s="4" t="s">
        <v>102</v>
      </c>
      <c r="F11" s="14">
        <v>2.2</v>
      </c>
      <c r="G11" s="14">
        <v>169</v>
      </c>
      <c r="H11" s="14">
        <f>ROUND(F11*AE11,2)</f>
        <v>108.55</v>
      </c>
      <c r="I11" s="14">
        <f>J11-H11</f>
        <v>263.25</v>
      </c>
      <c r="J11" s="14">
        <f>ROUND(F11*G11,2)</f>
        <v>371.8</v>
      </c>
      <c r="K11" s="14">
        <v>0</v>
      </c>
      <c r="L11" s="14">
        <f>F11*K11</f>
        <v>0</v>
      </c>
      <c r="N11" s="25" t="s">
        <v>2</v>
      </c>
      <c r="O11" s="14">
        <f>IF(N11="5",I11,0)</f>
        <v>0</v>
      </c>
      <c r="Z11" s="14">
        <f>IF(AD11=0,J11,0)</f>
        <v>0</v>
      </c>
      <c r="AA11" s="14">
        <f>IF(AD11=14,J11,0)</f>
        <v>371.8</v>
      </c>
      <c r="AB11" s="14">
        <f>IF(AD11=20,J11,0)</f>
        <v>0</v>
      </c>
      <c r="AD11" s="27">
        <v>14</v>
      </c>
      <c r="AE11" s="27">
        <f>G11*0.291961213637785</f>
        <v>49.34144510478566</v>
      </c>
      <c r="AF11" s="27">
        <f>G11*(1-0.291961213637785)</f>
        <v>119.65855489521435</v>
      </c>
    </row>
    <row r="12" spans="1:32" ht="12.75">
      <c r="A12" s="4"/>
      <c r="B12" s="4"/>
      <c r="C12" s="4"/>
      <c r="D12" s="48" t="s">
        <v>215</v>
      </c>
      <c r="E12" s="4"/>
      <c r="F12" s="14"/>
      <c r="G12" s="14"/>
      <c r="H12" s="14"/>
      <c r="I12" s="14"/>
      <c r="J12" s="14"/>
      <c r="K12" s="14"/>
      <c r="L12" s="14"/>
      <c r="N12" s="25"/>
      <c r="O12" s="14"/>
      <c r="Z12" s="14"/>
      <c r="AA12" s="14"/>
      <c r="AB12" s="14"/>
      <c r="AD12" s="27"/>
      <c r="AE12" s="27"/>
      <c r="AF12" s="27"/>
    </row>
    <row r="13" spans="1:32" ht="25.5">
      <c r="A13" s="4" t="s">
        <v>4</v>
      </c>
      <c r="B13" s="4"/>
      <c r="C13" s="4" t="s">
        <v>53</v>
      </c>
      <c r="D13" s="48" t="s">
        <v>185</v>
      </c>
      <c r="E13" s="4" t="s">
        <v>102</v>
      </c>
      <c r="F13" s="14">
        <v>13.7</v>
      </c>
      <c r="G13" s="14">
        <v>501</v>
      </c>
      <c r="H13" s="14">
        <f>ROUND(F13*AE13,2)</f>
        <v>1759.45</v>
      </c>
      <c r="I13" s="14">
        <f>J13-H13</f>
        <v>5104.25</v>
      </c>
      <c r="J13" s="14">
        <f>ROUND(F13*G13,2)</f>
        <v>6863.7</v>
      </c>
      <c r="K13" s="14">
        <v>0</v>
      </c>
      <c r="L13" s="14">
        <f>F13*K13</f>
        <v>0</v>
      </c>
      <c r="N13" s="25" t="s">
        <v>2</v>
      </c>
      <c r="O13" s="14">
        <f>IF(N13="5",I13,0)</f>
        <v>0</v>
      </c>
      <c r="Z13" s="14">
        <f>IF(AD13=0,J13,0)</f>
        <v>0</v>
      </c>
      <c r="AA13" s="14">
        <f>IF(AD13=14,J13,0)</f>
        <v>6863.7</v>
      </c>
      <c r="AB13" s="14">
        <f>IF(AD13=20,J13,0)</f>
        <v>0</v>
      </c>
      <c r="AD13" s="27">
        <v>14</v>
      </c>
      <c r="AE13" s="27">
        <f>G13*0.256341708542714</f>
        <v>128.4271959798997</v>
      </c>
      <c r="AF13" s="27">
        <f>G13*(1-0.256341708542714)</f>
        <v>372.5728040201003</v>
      </c>
    </row>
    <row r="14" spans="1:32" ht="12.75">
      <c r="A14" s="4"/>
      <c r="B14" s="4"/>
      <c r="C14" s="4"/>
      <c r="D14" s="48" t="s">
        <v>216</v>
      </c>
      <c r="E14" s="4"/>
      <c r="F14" s="14"/>
      <c r="G14" s="14"/>
      <c r="H14" s="14"/>
      <c r="I14" s="14"/>
      <c r="J14" s="14"/>
      <c r="K14" s="14"/>
      <c r="L14" s="14"/>
      <c r="N14" s="25"/>
      <c r="O14" s="14"/>
      <c r="Z14" s="14"/>
      <c r="AA14" s="14"/>
      <c r="AB14" s="14"/>
      <c r="AD14" s="27"/>
      <c r="AE14" s="27"/>
      <c r="AF14" s="27"/>
    </row>
    <row r="15" spans="1:32" ht="12.75">
      <c r="A15" s="4" t="s">
        <v>5</v>
      </c>
      <c r="B15" s="4"/>
      <c r="C15" s="4" t="s">
        <v>54</v>
      </c>
      <c r="D15" s="48" t="s">
        <v>85</v>
      </c>
      <c r="E15" s="4" t="s">
        <v>103</v>
      </c>
      <c r="F15" s="14">
        <v>2</v>
      </c>
      <c r="G15" s="14">
        <v>50</v>
      </c>
      <c r="H15" s="14">
        <f>ROUND(F15*AE15,2)</f>
        <v>0</v>
      </c>
      <c r="I15" s="14">
        <f>J15-H15</f>
        <v>100</v>
      </c>
      <c r="J15" s="14">
        <f>ROUND(F15*G15,2)</f>
        <v>100</v>
      </c>
      <c r="K15" s="14">
        <v>0</v>
      </c>
      <c r="L15" s="14">
        <f>F15*K15</f>
        <v>0</v>
      </c>
      <c r="N15" s="25" t="s">
        <v>2</v>
      </c>
      <c r="O15" s="14">
        <f>IF(N15="5",I15,0)</f>
        <v>0</v>
      </c>
      <c r="Z15" s="14">
        <f>IF(AD15=0,J15,0)</f>
        <v>0</v>
      </c>
      <c r="AA15" s="14">
        <f>IF(AD15=14,J15,0)</f>
        <v>100</v>
      </c>
      <c r="AB15" s="14">
        <f>IF(AD15=20,J15,0)</f>
        <v>0</v>
      </c>
      <c r="AD15" s="27">
        <v>14</v>
      </c>
      <c r="AE15" s="27">
        <f>G15*0</f>
        <v>0</v>
      </c>
      <c r="AF15" s="27">
        <f>G15*(1-0)</f>
        <v>50</v>
      </c>
    </row>
    <row r="16" spans="1:32" ht="12.75">
      <c r="A16" s="4"/>
      <c r="B16" s="4"/>
      <c r="C16" s="4"/>
      <c r="D16" s="48"/>
      <c r="E16" s="4"/>
      <c r="F16" s="14"/>
      <c r="G16" s="14"/>
      <c r="H16" s="14"/>
      <c r="I16" s="14"/>
      <c r="J16" s="14"/>
      <c r="K16" s="14"/>
      <c r="L16" s="14"/>
      <c r="N16" s="25"/>
      <c r="O16" s="14"/>
      <c r="Z16" s="14"/>
      <c r="AA16" s="14"/>
      <c r="AB16" s="14"/>
      <c r="AD16" s="27"/>
      <c r="AE16" s="27"/>
      <c r="AF16" s="27"/>
    </row>
    <row r="17" spans="1:32" ht="12.75">
      <c r="A17" s="4" t="s">
        <v>6</v>
      </c>
      <c r="B17" s="4"/>
      <c r="C17" s="4" t="s">
        <v>55</v>
      </c>
      <c r="D17" s="48" t="s">
        <v>86</v>
      </c>
      <c r="E17" s="4" t="s">
        <v>103</v>
      </c>
      <c r="F17" s="14">
        <v>1</v>
      </c>
      <c r="G17" s="14">
        <v>55</v>
      </c>
      <c r="H17" s="14">
        <f>ROUND(F17*AE17,2)</f>
        <v>0</v>
      </c>
      <c r="I17" s="14">
        <f>J17-H17</f>
        <v>55</v>
      </c>
      <c r="J17" s="14">
        <f>ROUND(F17*G17,2)</f>
        <v>55</v>
      </c>
      <c r="K17" s="14">
        <v>0</v>
      </c>
      <c r="L17" s="14">
        <f>F17*K17</f>
        <v>0</v>
      </c>
      <c r="N17" s="25" t="s">
        <v>2</v>
      </c>
      <c r="O17" s="14">
        <f>IF(N17="5",I17,0)</f>
        <v>0</v>
      </c>
      <c r="Z17" s="14">
        <f>IF(AD17=0,J17,0)</f>
        <v>0</v>
      </c>
      <c r="AA17" s="14">
        <f>IF(AD17=14,J17,0)</f>
        <v>55</v>
      </c>
      <c r="AB17" s="14">
        <f>IF(AD17=20,J17,0)</f>
        <v>0</v>
      </c>
      <c r="AD17" s="27">
        <v>14</v>
      </c>
      <c r="AE17" s="27">
        <f>G17*0</f>
        <v>0</v>
      </c>
      <c r="AF17" s="27">
        <f>G17*(1-0)</f>
        <v>55</v>
      </c>
    </row>
    <row r="18" spans="1:32" ht="12.75">
      <c r="A18" s="4"/>
      <c r="B18" s="4"/>
      <c r="C18" s="4"/>
      <c r="D18" s="48"/>
      <c r="E18" s="4"/>
      <c r="F18" s="14"/>
      <c r="G18" s="14"/>
      <c r="H18" s="14"/>
      <c r="I18" s="14"/>
      <c r="J18" s="14"/>
      <c r="K18" s="14"/>
      <c r="L18" s="14"/>
      <c r="N18" s="25"/>
      <c r="O18" s="14"/>
      <c r="Z18" s="14"/>
      <c r="AA18" s="14"/>
      <c r="AB18" s="14"/>
      <c r="AD18" s="27"/>
      <c r="AE18" s="27"/>
      <c r="AF18" s="27"/>
    </row>
    <row r="19" spans="1:32" ht="12.75">
      <c r="A19" s="4" t="s">
        <v>7</v>
      </c>
      <c r="B19" s="4"/>
      <c r="C19" s="4" t="s">
        <v>56</v>
      </c>
      <c r="D19" s="48" t="s">
        <v>87</v>
      </c>
      <c r="E19" s="4" t="s">
        <v>103</v>
      </c>
      <c r="F19" s="14">
        <v>1</v>
      </c>
      <c r="G19" s="14">
        <v>82</v>
      </c>
      <c r="H19" s="14">
        <f>ROUND(F19*AE19,2)</f>
        <v>0</v>
      </c>
      <c r="I19" s="14">
        <f>J19-H19</f>
        <v>82</v>
      </c>
      <c r="J19" s="14">
        <f>ROUND(F19*G19,2)</f>
        <v>82</v>
      </c>
      <c r="K19" s="14">
        <v>0</v>
      </c>
      <c r="L19" s="14">
        <f>F19*K19</f>
        <v>0</v>
      </c>
      <c r="N19" s="25" t="s">
        <v>2</v>
      </c>
      <c r="O19" s="14">
        <f>IF(N19="5",I19,0)</f>
        <v>0</v>
      </c>
      <c r="Z19" s="14">
        <f>IF(AD19=0,J19,0)</f>
        <v>0</v>
      </c>
      <c r="AA19" s="14">
        <f>IF(AD19=14,J19,0)</f>
        <v>82</v>
      </c>
      <c r="AB19" s="14">
        <f>IF(AD19=20,J19,0)</f>
        <v>0</v>
      </c>
      <c r="AD19" s="27">
        <v>14</v>
      </c>
      <c r="AE19" s="27">
        <f>G19*0</f>
        <v>0</v>
      </c>
      <c r="AF19" s="27">
        <f>G19*(1-0)</f>
        <v>82</v>
      </c>
    </row>
    <row r="20" spans="1:32" s="56" customFormat="1" ht="38.25">
      <c r="A20" s="53" t="s">
        <v>8</v>
      </c>
      <c r="B20" s="53"/>
      <c r="C20" s="53" t="s">
        <v>181</v>
      </c>
      <c r="D20" s="54" t="s">
        <v>182</v>
      </c>
      <c r="E20" s="53" t="s">
        <v>102</v>
      </c>
      <c r="F20" s="55">
        <f>F9+F11+F13</f>
        <v>18.2</v>
      </c>
      <c r="G20" s="14">
        <v>150</v>
      </c>
      <c r="H20" s="55">
        <f>ROUND(F20*AE20,2)</f>
        <v>1387.38</v>
      </c>
      <c r="I20" s="55">
        <f>J20-H20</f>
        <v>1342.62</v>
      </c>
      <c r="J20" s="55">
        <f>ROUND(F20*G20,2)</f>
        <v>2730</v>
      </c>
      <c r="K20" s="14">
        <v>0</v>
      </c>
      <c r="L20" s="55">
        <f>F20*K20</f>
        <v>0</v>
      </c>
      <c r="N20" s="57" t="s">
        <v>2</v>
      </c>
      <c r="O20" s="55">
        <f>IF(N20="5",I20,0)</f>
        <v>0</v>
      </c>
      <c r="Z20" s="55">
        <f>IF(AD20=0,J20,0)</f>
        <v>0</v>
      </c>
      <c r="AA20" s="55">
        <f>IF(AD20=14,J20,0)</f>
        <v>0</v>
      </c>
      <c r="AB20" s="55">
        <f>IF(AD20=20,J20,0)</f>
        <v>2730</v>
      </c>
      <c r="AD20" s="58">
        <v>20</v>
      </c>
      <c r="AE20" s="58">
        <f>G20*0.508196721311475</f>
        <v>76.22950819672124</v>
      </c>
      <c r="AF20" s="58">
        <f>G20*(1-0.508196721311475)</f>
        <v>73.77049180327876</v>
      </c>
    </row>
    <row r="21" spans="1:32" s="56" customFormat="1" ht="12.75">
      <c r="A21" s="53"/>
      <c r="B21" s="53"/>
      <c r="C21" s="53"/>
      <c r="D21" s="54" t="s">
        <v>217</v>
      </c>
      <c r="E21" s="53"/>
      <c r="F21" s="55"/>
      <c r="G21" s="55"/>
      <c r="H21" s="55"/>
      <c r="I21" s="55"/>
      <c r="J21" s="55"/>
      <c r="K21" s="55"/>
      <c r="L21" s="55"/>
      <c r="N21" s="57"/>
      <c r="O21" s="55"/>
      <c r="Z21" s="55"/>
      <c r="AA21" s="55"/>
      <c r="AB21" s="55"/>
      <c r="AD21" s="58"/>
      <c r="AE21" s="58"/>
      <c r="AF21" s="58"/>
    </row>
    <row r="22" spans="1:32" ht="12.75">
      <c r="A22" s="4" t="s">
        <v>9</v>
      </c>
      <c r="B22" s="4"/>
      <c r="C22" s="4" t="s">
        <v>184</v>
      </c>
      <c r="D22" s="4" t="s">
        <v>188</v>
      </c>
      <c r="E22" s="4" t="s">
        <v>102</v>
      </c>
      <c r="F22" s="14">
        <v>0.4</v>
      </c>
      <c r="G22" s="14">
        <v>392</v>
      </c>
      <c r="H22" s="14">
        <f>ROUND(F22*AE22,2)</f>
        <v>56.43</v>
      </c>
      <c r="I22" s="14">
        <f>J22-H22</f>
        <v>100.37</v>
      </c>
      <c r="J22" s="14">
        <f>ROUND(F22*G22,2)</f>
        <v>156.8</v>
      </c>
      <c r="K22" s="14">
        <v>0</v>
      </c>
      <c r="L22" s="14">
        <f>F22*K22</f>
        <v>0</v>
      </c>
      <c r="N22" s="25" t="s">
        <v>2</v>
      </c>
      <c r="O22" s="14">
        <f>IF(N22="5",I22,0)</f>
        <v>0</v>
      </c>
      <c r="Z22" s="14">
        <f>IF(AD22=0,J22,0)</f>
        <v>0</v>
      </c>
      <c r="AA22" s="14">
        <f>IF(AD22=14,J22,0)</f>
        <v>156.8</v>
      </c>
      <c r="AB22" s="14">
        <f>IF(AD22=20,J22,0)</f>
        <v>0</v>
      </c>
      <c r="AD22" s="27">
        <v>14</v>
      </c>
      <c r="AE22" s="27">
        <f>G22*0.359914287900819</f>
        <v>141.08640085712105</v>
      </c>
      <c r="AF22" s="27">
        <f>G22*(1-0.359914287900819)</f>
        <v>250.91359914287895</v>
      </c>
    </row>
    <row r="23" spans="1:32" ht="12.75">
      <c r="A23" s="4"/>
      <c r="B23" s="4"/>
      <c r="C23" s="4"/>
      <c r="D23" s="4" t="s">
        <v>249</v>
      </c>
      <c r="E23" s="4"/>
      <c r="F23" s="14"/>
      <c r="G23" s="14"/>
      <c r="H23" s="14"/>
      <c r="I23" s="14"/>
      <c r="J23" s="14"/>
      <c r="K23" s="14"/>
      <c r="L23" s="14"/>
      <c r="N23" s="25"/>
      <c r="O23" s="14"/>
      <c r="Z23" s="14"/>
      <c r="AA23" s="14"/>
      <c r="AB23" s="14"/>
      <c r="AD23" s="27"/>
      <c r="AE23" s="27"/>
      <c r="AF23" s="27"/>
    </row>
    <row r="24" spans="1:32" ht="12.75">
      <c r="A24" s="4" t="s">
        <v>10</v>
      </c>
      <c r="B24" s="4"/>
      <c r="C24" s="4" t="s">
        <v>246</v>
      </c>
      <c r="D24" s="4" t="s">
        <v>247</v>
      </c>
      <c r="E24" s="4" t="s">
        <v>102</v>
      </c>
      <c r="F24" s="14">
        <v>3.1</v>
      </c>
      <c r="G24" s="14">
        <v>412</v>
      </c>
      <c r="H24" s="14">
        <f>ROUND(F24*AE24,2)</f>
        <v>683.46</v>
      </c>
      <c r="I24" s="14">
        <f>J24-H24</f>
        <v>593.74</v>
      </c>
      <c r="J24" s="14">
        <f>ROUND(F24*G24,2)</f>
        <v>1277.2</v>
      </c>
      <c r="K24" s="14">
        <v>0</v>
      </c>
      <c r="L24" s="14">
        <f>F24*K24</f>
        <v>0</v>
      </c>
      <c r="N24" s="25" t="s">
        <v>2</v>
      </c>
      <c r="O24" s="14">
        <f>IF(N24="5",I24,0)</f>
        <v>0</v>
      </c>
      <c r="Z24" s="14">
        <f>IF(AD24=0,J24,0)</f>
        <v>0</v>
      </c>
      <c r="AA24" s="14">
        <f>IF(AD24=14,J24,0)</f>
        <v>1277.2</v>
      </c>
      <c r="AB24" s="14">
        <f>IF(AD24=20,J24,0)</f>
        <v>0</v>
      </c>
      <c r="AD24" s="27">
        <v>14</v>
      </c>
      <c r="AE24" s="27">
        <f>G24*0.535120643431635</f>
        <v>220.46970509383362</v>
      </c>
      <c r="AF24" s="27">
        <f>G24*(1-0.535120643431635)</f>
        <v>191.53029490616638</v>
      </c>
    </row>
    <row r="25" spans="1:32" ht="12.75">
      <c r="A25" s="4"/>
      <c r="B25" s="4"/>
      <c r="C25" s="4"/>
      <c r="D25" s="4" t="s">
        <v>248</v>
      </c>
      <c r="E25" s="4"/>
      <c r="F25" s="14"/>
      <c r="G25" s="14"/>
      <c r="H25" s="14"/>
      <c r="I25" s="14"/>
      <c r="J25" s="14"/>
      <c r="K25" s="14"/>
      <c r="L25" s="14"/>
      <c r="N25" s="25"/>
      <c r="O25" s="14"/>
      <c r="Z25" s="14"/>
      <c r="AA25" s="14"/>
      <c r="AB25" s="14"/>
      <c r="AD25" s="27"/>
      <c r="AE25" s="27"/>
      <c r="AF25" s="27"/>
    </row>
    <row r="26" spans="1:32" ht="12.75">
      <c r="A26" s="4" t="s">
        <v>11</v>
      </c>
      <c r="B26" s="4"/>
      <c r="C26" s="4" t="s">
        <v>175</v>
      </c>
      <c r="D26" s="4" t="s">
        <v>179</v>
      </c>
      <c r="E26" s="4" t="s">
        <v>176</v>
      </c>
      <c r="F26" s="14">
        <f>F13+F9+F11+F22</f>
        <v>18.599999999999998</v>
      </c>
      <c r="G26" s="14">
        <v>150</v>
      </c>
      <c r="H26" s="14">
        <f>ROUND(F26*AE26,2)</f>
        <v>259.34</v>
      </c>
      <c r="I26" s="14">
        <f>J26-H26</f>
        <v>2530.66</v>
      </c>
      <c r="J26" s="14">
        <f>ROUND(F26*G26,2)</f>
        <v>2790</v>
      </c>
      <c r="K26" s="14">
        <v>0</v>
      </c>
      <c r="L26" s="14">
        <f>F26*K26</f>
        <v>0</v>
      </c>
      <c r="N26" s="25" t="s">
        <v>2</v>
      </c>
      <c r="O26" s="14">
        <f>IF(N26="5",I26,0)</f>
        <v>0</v>
      </c>
      <c r="Z26" s="14">
        <f>IF(AD26=0,J26,0)</f>
        <v>0</v>
      </c>
      <c r="AA26" s="14">
        <f>IF(AD26=14,J26,0)</f>
        <v>2790</v>
      </c>
      <c r="AB26" s="14">
        <f>IF(AD26=20,J26,0)</f>
        <v>0</v>
      </c>
      <c r="AD26" s="27">
        <v>14</v>
      </c>
      <c r="AE26" s="27">
        <f>G26*0.0929537366548043</f>
        <v>13.943060498220646</v>
      </c>
      <c r="AF26" s="27">
        <f>G26*(1-0.0929537366548043)</f>
        <v>136.05693950177934</v>
      </c>
    </row>
    <row r="27" spans="1:32" ht="12.75">
      <c r="A27" s="4"/>
      <c r="B27" s="4"/>
      <c r="C27" s="4"/>
      <c r="D27" s="4" t="s">
        <v>218</v>
      </c>
      <c r="E27" s="4"/>
      <c r="F27" s="14"/>
      <c r="G27" s="14"/>
      <c r="H27" s="14"/>
      <c r="I27" s="14"/>
      <c r="J27" s="14"/>
      <c r="K27" s="14"/>
      <c r="L27" s="14"/>
      <c r="N27" s="25"/>
      <c r="O27" s="14"/>
      <c r="Z27" s="14"/>
      <c r="AA27" s="14"/>
      <c r="AB27" s="14"/>
      <c r="AD27" s="27"/>
      <c r="AE27" s="27"/>
      <c r="AF27" s="27"/>
    </row>
    <row r="28" spans="1:32" ht="12.75">
      <c r="A28" s="4" t="s">
        <v>12</v>
      </c>
      <c r="B28" s="4"/>
      <c r="C28" s="4" t="s">
        <v>57</v>
      </c>
      <c r="D28" s="48" t="s">
        <v>88</v>
      </c>
      <c r="E28" s="4" t="s">
        <v>104</v>
      </c>
      <c r="F28" s="14">
        <v>0.44</v>
      </c>
      <c r="G28" s="14">
        <v>474</v>
      </c>
      <c r="H28" s="14">
        <f>ROUND(F28*AE28,2)</f>
        <v>0</v>
      </c>
      <c r="I28" s="14">
        <f>J28-H28</f>
        <v>208.56</v>
      </c>
      <c r="J28" s="14">
        <f>ROUND(F28*G28,2)</f>
        <v>208.56</v>
      </c>
      <c r="K28" s="14">
        <v>0</v>
      </c>
      <c r="L28" s="14">
        <f>F28*K28</f>
        <v>0</v>
      </c>
      <c r="N28" s="25" t="s">
        <v>6</v>
      </c>
      <c r="O28" s="14">
        <f>IF(N28="5",I28,0)</f>
        <v>208.56</v>
      </c>
      <c r="Z28" s="14">
        <f>IF(AD28=0,J28,0)</f>
        <v>0</v>
      </c>
      <c r="AA28" s="14">
        <f>IF(AD28=14,J28,0)</f>
        <v>208.56</v>
      </c>
      <c r="AB28" s="14">
        <f>IF(AD28=20,J28,0)</f>
        <v>0</v>
      </c>
      <c r="AD28" s="27">
        <v>14</v>
      </c>
      <c r="AE28" s="27">
        <f>G28*0</f>
        <v>0</v>
      </c>
      <c r="AF28" s="27">
        <f>G28*(1-0)</f>
        <v>474</v>
      </c>
    </row>
    <row r="29" spans="1:32" ht="12.75">
      <c r="A29" s="4" t="s">
        <v>13</v>
      </c>
      <c r="B29" s="4"/>
      <c r="C29" s="4" t="s">
        <v>58</v>
      </c>
      <c r="D29" s="48" t="s">
        <v>183</v>
      </c>
      <c r="E29" s="4" t="s">
        <v>102</v>
      </c>
      <c r="F29" s="14">
        <f>F9+F11+F13+F22</f>
        <v>18.599999999999998</v>
      </c>
      <c r="G29" s="14">
        <v>17</v>
      </c>
      <c r="H29" s="14">
        <f>ROUND(F29*AE29,2)</f>
        <v>10.47</v>
      </c>
      <c r="I29" s="14">
        <f>J29-H29</f>
        <v>305.72999999999996</v>
      </c>
      <c r="J29" s="14">
        <f>ROUND(F29*G29,2)</f>
        <v>316.2</v>
      </c>
      <c r="K29" s="14">
        <v>0</v>
      </c>
      <c r="L29" s="14">
        <f>F29*K29</f>
        <v>0</v>
      </c>
      <c r="N29" s="25" t="s">
        <v>2</v>
      </c>
      <c r="O29" s="14">
        <f>IF(N29="5",I29,0)</f>
        <v>0</v>
      </c>
      <c r="Z29" s="14">
        <f>IF(AD29=0,J29,0)</f>
        <v>0</v>
      </c>
      <c r="AA29" s="14">
        <f>IF(AD29=14,J29,0)</f>
        <v>316.2</v>
      </c>
      <c r="AB29" s="14">
        <f>IF(AD29=20,J29,0)</f>
        <v>0</v>
      </c>
      <c r="AD29" s="27">
        <v>14</v>
      </c>
      <c r="AE29" s="27">
        <f>G29*0.0331210191082803</f>
        <v>0.5630573248407651</v>
      </c>
      <c r="AF29" s="27">
        <f>G29*(1-0.0331210191082803)</f>
        <v>16.436942675159237</v>
      </c>
    </row>
    <row r="30" spans="1:32" ht="12.75">
      <c r="A30" s="4"/>
      <c r="B30" s="4"/>
      <c r="C30" s="4"/>
      <c r="D30" s="48" t="s">
        <v>218</v>
      </c>
      <c r="E30" s="4"/>
      <c r="F30" s="14"/>
      <c r="G30" s="14"/>
      <c r="H30" s="14"/>
      <c r="I30" s="14"/>
      <c r="J30" s="14"/>
      <c r="K30" s="14"/>
      <c r="L30" s="14"/>
      <c r="N30" s="25"/>
      <c r="O30" s="14"/>
      <c r="Z30" s="14"/>
      <c r="AA30" s="14"/>
      <c r="AB30" s="14"/>
      <c r="AD30" s="27"/>
      <c r="AE30" s="27"/>
      <c r="AF30" s="27"/>
    </row>
    <row r="31" spans="1:37" ht="12.75">
      <c r="A31" s="5"/>
      <c r="B31" s="5"/>
      <c r="C31" s="11" t="s">
        <v>59</v>
      </c>
      <c r="D31" s="161" t="s">
        <v>89</v>
      </c>
      <c r="E31" s="162"/>
      <c r="F31" s="162"/>
      <c r="G31" s="162"/>
      <c r="H31" s="29">
        <f>SUM(H32:H81)</f>
        <v>115098.05000000002</v>
      </c>
      <c r="I31" s="29">
        <f>SUM(I32:I81)</f>
        <v>22663.929999999997</v>
      </c>
      <c r="J31" s="29">
        <f>H31+I31</f>
        <v>137761.98</v>
      </c>
      <c r="K31" s="22"/>
      <c r="L31" s="29">
        <f>SUM(L32:L81)</f>
        <v>1.5E-05</v>
      </c>
      <c r="P31" s="29">
        <f>IF(Q31="PR",J31,SUM(O32:O81))</f>
        <v>250.88</v>
      </c>
      <c r="Q31" s="22" t="s">
        <v>119</v>
      </c>
      <c r="R31" s="29">
        <f>IF(Q31="HS",H31,0)</f>
        <v>0</v>
      </c>
      <c r="S31" s="29">
        <f>IF(Q31="HS",I31-P31,0)</f>
        <v>0</v>
      </c>
      <c r="T31" s="29">
        <f>IF(Q31="PS",H31,0)</f>
        <v>115098.05000000002</v>
      </c>
      <c r="U31" s="29">
        <f>IF(Q31="PS",I31-P31,0)</f>
        <v>22413.049999999996</v>
      </c>
      <c r="V31" s="29">
        <f>IF(Q31="MP",H31,0)</f>
        <v>0</v>
      </c>
      <c r="W31" s="29">
        <f>IF(Q31="MP",I31-P31,0)</f>
        <v>0</v>
      </c>
      <c r="X31" s="29">
        <f>IF(Q31="OM",H31,0)</f>
        <v>0</v>
      </c>
      <c r="Y31" s="22"/>
      <c r="AI31" s="29">
        <f>SUM(Z32:Z81)</f>
        <v>0</v>
      </c>
      <c r="AJ31" s="29">
        <f>SUM(AA32:AA81)</f>
        <v>137761.97999999998</v>
      </c>
      <c r="AK31" s="29">
        <f>SUM(AB32:AB81)</f>
        <v>0</v>
      </c>
    </row>
    <row r="32" spans="1:32" ht="25.5">
      <c r="A32" s="4" t="s">
        <v>14</v>
      </c>
      <c r="B32" s="4"/>
      <c r="C32" s="4" t="s">
        <v>60</v>
      </c>
      <c r="D32" s="48" t="s">
        <v>90</v>
      </c>
      <c r="E32" s="4" t="s">
        <v>102</v>
      </c>
      <c r="F32" s="14">
        <f>10.7+9.4</f>
        <v>20.1</v>
      </c>
      <c r="G32" s="14">
        <v>868</v>
      </c>
      <c r="H32" s="14">
        <f>ROUND(F32*AE32,2)</f>
        <v>9980.5</v>
      </c>
      <c r="I32" s="14">
        <f>J32-H32</f>
        <v>7466.299999999999</v>
      </c>
      <c r="J32" s="14">
        <f>ROUND(F32*G32,2)</f>
        <v>17446.8</v>
      </c>
      <c r="K32" s="14">
        <v>0</v>
      </c>
      <c r="L32" s="14">
        <f>F32*K32</f>
        <v>0</v>
      </c>
      <c r="N32" s="25" t="s">
        <v>2</v>
      </c>
      <c r="O32" s="14">
        <f>IF(N32="5",I32,0)</f>
        <v>0</v>
      </c>
      <c r="Z32" s="14">
        <f>IF(AD32=0,J32,0)</f>
        <v>0</v>
      </c>
      <c r="AA32" s="14">
        <f>IF(AD32=14,J32,0)</f>
        <v>17446.8</v>
      </c>
      <c r="AB32" s="14">
        <f>IF(AD32=20,J32,0)</f>
        <v>0</v>
      </c>
      <c r="AD32" s="27">
        <v>14</v>
      </c>
      <c r="AE32" s="27">
        <f>G32*0.572053256003959</f>
        <v>496.5422262114364</v>
      </c>
      <c r="AF32" s="27">
        <f>G32*(1-0.572053256003959)</f>
        <v>371.4577737885636</v>
      </c>
    </row>
    <row r="33" spans="1:32" ht="12.75">
      <c r="A33" s="4"/>
      <c r="B33" s="4"/>
      <c r="C33" s="4"/>
      <c r="D33" s="48" t="s">
        <v>219</v>
      </c>
      <c r="E33" s="4"/>
      <c r="F33" s="14"/>
      <c r="G33" s="14"/>
      <c r="H33" s="14"/>
      <c r="I33" s="14"/>
      <c r="J33" s="14"/>
      <c r="K33" s="14"/>
      <c r="L33" s="14"/>
      <c r="N33" s="25"/>
      <c r="O33" s="14"/>
      <c r="Z33" s="14"/>
      <c r="AA33" s="14"/>
      <c r="AB33" s="14"/>
      <c r="AD33" s="27"/>
      <c r="AE33" s="27"/>
      <c r="AF33" s="27"/>
    </row>
    <row r="34" spans="1:32" ht="25.5">
      <c r="A34" s="4" t="s">
        <v>15</v>
      </c>
      <c r="B34" s="4"/>
      <c r="C34" s="4" t="s">
        <v>250</v>
      </c>
      <c r="D34" s="48" t="s">
        <v>220</v>
      </c>
      <c r="E34" s="4" t="s">
        <v>102</v>
      </c>
      <c r="F34" s="14">
        <v>1.7</v>
      </c>
      <c r="G34" s="14">
        <v>433</v>
      </c>
      <c r="H34" s="14">
        <f>ROUND(F34*AE34,2)</f>
        <v>421.09</v>
      </c>
      <c r="I34" s="14">
        <f>J34-H34</f>
        <v>315.01000000000005</v>
      </c>
      <c r="J34" s="14">
        <f>ROUND(F34*G34,2)</f>
        <v>736.1</v>
      </c>
      <c r="K34" s="14">
        <v>0</v>
      </c>
      <c r="L34" s="14">
        <f>F34*K34</f>
        <v>0</v>
      </c>
      <c r="N34" s="25" t="s">
        <v>2</v>
      </c>
      <c r="O34" s="14">
        <f>IF(N34="5",I34,0)</f>
        <v>0</v>
      </c>
      <c r="Z34" s="14">
        <f>IF(AD34=0,J34,0)</f>
        <v>0</v>
      </c>
      <c r="AA34" s="14">
        <f>IF(AD34=14,J34,0)</f>
        <v>736.1</v>
      </c>
      <c r="AB34" s="14">
        <f>IF(AD34=20,J34,0)</f>
        <v>0</v>
      </c>
      <c r="AD34" s="27">
        <v>14</v>
      </c>
      <c r="AE34" s="27">
        <f>G34*0.572053256003959</f>
        <v>247.69905984971422</v>
      </c>
      <c r="AF34" s="27">
        <f>G34*(1-0.572053256003959)</f>
        <v>185.30094015028578</v>
      </c>
    </row>
    <row r="35" spans="1:32" ht="12.75">
      <c r="A35" s="4"/>
      <c r="B35" s="4"/>
      <c r="C35" s="4"/>
      <c r="D35" s="48" t="s">
        <v>221</v>
      </c>
      <c r="E35" s="4"/>
      <c r="F35" s="14"/>
      <c r="G35" s="14"/>
      <c r="H35" s="14"/>
      <c r="I35" s="14"/>
      <c r="J35" s="14"/>
      <c r="K35" s="14"/>
      <c r="L35" s="14"/>
      <c r="N35" s="25"/>
      <c r="O35" s="14"/>
      <c r="Z35" s="14"/>
      <c r="AA35" s="14"/>
      <c r="AB35" s="14"/>
      <c r="AD35" s="27"/>
      <c r="AE35" s="27"/>
      <c r="AF35" s="27"/>
    </row>
    <row r="36" spans="1:32" ht="25.5">
      <c r="A36" s="4" t="s">
        <v>16</v>
      </c>
      <c r="B36" s="4"/>
      <c r="C36" s="4" t="s">
        <v>61</v>
      </c>
      <c r="D36" s="48" t="s">
        <v>169</v>
      </c>
      <c r="E36" s="4" t="s">
        <v>102</v>
      </c>
      <c r="F36" s="14">
        <v>4.1</v>
      </c>
      <c r="G36" s="14">
        <v>198</v>
      </c>
      <c r="H36" s="14">
        <f>ROUND(F36*AE36,2)</f>
        <v>183.02</v>
      </c>
      <c r="I36" s="14">
        <f>J36-H36</f>
        <v>628.78</v>
      </c>
      <c r="J36" s="14">
        <f>ROUND(F36*G36,2)</f>
        <v>811.8</v>
      </c>
      <c r="K36" s="14">
        <v>0</v>
      </c>
      <c r="L36" s="14">
        <f>F36*K36</f>
        <v>0</v>
      </c>
      <c r="N36" s="25" t="s">
        <v>2</v>
      </c>
      <c r="O36" s="14">
        <f>IF(N36="5",I36,0)</f>
        <v>0</v>
      </c>
      <c r="Z36" s="14">
        <f>IF(AD36=0,J36,0)</f>
        <v>0</v>
      </c>
      <c r="AA36" s="14">
        <f>IF(AD36=14,J36,0)</f>
        <v>811.8</v>
      </c>
      <c r="AB36" s="14">
        <f>IF(AD36=20,J36,0)</f>
        <v>0</v>
      </c>
      <c r="AD36" s="27">
        <v>14</v>
      </c>
      <c r="AE36" s="27">
        <f>G36*0.225446009389671</f>
        <v>44.63830985915486</v>
      </c>
      <c r="AF36" s="27">
        <f>G36*(1-0.225446009389671)</f>
        <v>153.36169014084516</v>
      </c>
    </row>
    <row r="37" spans="1:32" ht="12.75">
      <c r="A37" s="4"/>
      <c r="B37" s="4"/>
      <c r="C37" s="4"/>
      <c r="D37" s="48" t="s">
        <v>222</v>
      </c>
      <c r="E37" s="4"/>
      <c r="F37" s="14"/>
      <c r="G37" s="14"/>
      <c r="H37" s="14"/>
      <c r="I37" s="14"/>
      <c r="J37" s="14"/>
      <c r="K37" s="14"/>
      <c r="L37" s="14"/>
      <c r="N37" s="25"/>
      <c r="O37" s="14"/>
      <c r="Z37" s="14"/>
      <c r="AA37" s="14"/>
      <c r="AB37" s="14"/>
      <c r="AD37" s="27"/>
      <c r="AE37" s="27"/>
      <c r="AF37" s="27"/>
    </row>
    <row r="38" spans="1:32" ht="25.5">
      <c r="A38" s="4" t="s">
        <v>17</v>
      </c>
      <c r="B38" s="4"/>
      <c r="C38" s="4" t="s">
        <v>62</v>
      </c>
      <c r="D38" s="48" t="s">
        <v>170</v>
      </c>
      <c r="E38" s="4" t="s">
        <v>102</v>
      </c>
      <c r="F38" s="14">
        <v>0.5</v>
      </c>
      <c r="G38" s="14">
        <v>229</v>
      </c>
      <c r="H38" s="14">
        <f>ROUND(F38*AE38,2)</f>
        <v>30.42</v>
      </c>
      <c r="I38" s="14">
        <f>J38-H38</f>
        <v>84.08</v>
      </c>
      <c r="J38" s="14">
        <f>ROUND(F38*G38,2)</f>
        <v>114.5</v>
      </c>
      <c r="K38" s="14">
        <v>0</v>
      </c>
      <c r="L38" s="14">
        <f>F38*K38</f>
        <v>0</v>
      </c>
      <c r="N38" s="25" t="s">
        <v>2</v>
      </c>
      <c r="O38" s="14">
        <f>IF(N38="5",I38,0)</f>
        <v>0</v>
      </c>
      <c r="Z38" s="14">
        <f>IF(AD38=0,J38,0)</f>
        <v>0</v>
      </c>
      <c r="AA38" s="14">
        <f>IF(AD38=14,J38,0)</f>
        <v>114.5</v>
      </c>
      <c r="AB38" s="14">
        <f>IF(AD38=20,J38,0)</f>
        <v>0</v>
      </c>
      <c r="AD38" s="27">
        <v>14</v>
      </c>
      <c r="AE38" s="27">
        <f>G38*0.265654648956357</f>
        <v>60.83491461100575</v>
      </c>
      <c r="AF38" s="27">
        <f>G38*(1-0.265654648956357)</f>
        <v>168.16508538899427</v>
      </c>
    </row>
    <row r="39" spans="1:32" ht="12.75">
      <c r="A39" s="4"/>
      <c r="B39" s="4"/>
      <c r="C39" s="4"/>
      <c r="D39" s="48" t="s">
        <v>163</v>
      </c>
      <c r="E39" s="4"/>
      <c r="F39" s="14"/>
      <c r="G39" s="14"/>
      <c r="H39" s="14"/>
      <c r="I39" s="14"/>
      <c r="J39" s="14"/>
      <c r="K39" s="14"/>
      <c r="L39" s="14"/>
      <c r="N39" s="25"/>
      <c r="O39" s="14"/>
      <c r="Z39" s="14"/>
      <c r="AA39" s="14"/>
      <c r="AB39" s="14"/>
      <c r="AD39" s="27"/>
      <c r="AE39" s="27"/>
      <c r="AF39" s="27"/>
    </row>
    <row r="40" spans="1:32" ht="25.5">
      <c r="A40" s="4" t="s">
        <v>18</v>
      </c>
      <c r="B40" s="4"/>
      <c r="C40" s="4" t="s">
        <v>229</v>
      </c>
      <c r="D40" s="48" t="s">
        <v>224</v>
      </c>
      <c r="E40" s="4" t="s">
        <v>102</v>
      </c>
      <c r="F40" s="14">
        <v>2</v>
      </c>
      <c r="G40" s="14">
        <v>186</v>
      </c>
      <c r="H40" s="14">
        <f>ROUND(F40*AE40,2)</f>
        <v>127.21</v>
      </c>
      <c r="I40" s="14">
        <f>J40-H40</f>
        <v>244.79000000000002</v>
      </c>
      <c r="J40" s="14">
        <f>ROUND(F40*G40,2)</f>
        <v>372</v>
      </c>
      <c r="K40" s="14">
        <v>0</v>
      </c>
      <c r="L40" s="14">
        <f>F40*K40</f>
        <v>0</v>
      </c>
      <c r="N40" s="25" t="s">
        <v>2</v>
      </c>
      <c r="O40" s="14">
        <f>IF(N40="5",I40,0)</f>
        <v>0</v>
      </c>
      <c r="Z40" s="14">
        <f>IF(AD40=0,J40,0)</f>
        <v>0</v>
      </c>
      <c r="AA40" s="14">
        <f>IF(AD40=14,J40,0)</f>
        <v>372</v>
      </c>
      <c r="AB40" s="14">
        <f>IF(AD40=20,J40,0)</f>
        <v>0</v>
      </c>
      <c r="AD40" s="27">
        <v>14</v>
      </c>
      <c r="AE40" s="27">
        <f>G40*0.341957361298628</f>
        <v>63.60406920154481</v>
      </c>
      <c r="AF40" s="27">
        <f>G40*(1-0.341957361298628)</f>
        <v>122.3959307984552</v>
      </c>
    </row>
    <row r="41" spans="1:32" ht="12.75">
      <c r="A41" s="4"/>
      <c r="B41" s="4"/>
      <c r="C41" s="4"/>
      <c r="D41" s="48" t="s">
        <v>223</v>
      </c>
      <c r="E41" s="4"/>
      <c r="F41" s="14"/>
      <c r="G41" s="14"/>
      <c r="H41" s="14"/>
      <c r="I41" s="14"/>
      <c r="J41" s="14"/>
      <c r="K41" s="14"/>
      <c r="L41" s="14"/>
      <c r="N41" s="25"/>
      <c r="O41" s="14"/>
      <c r="Z41" s="14"/>
      <c r="AA41" s="14"/>
      <c r="AB41" s="14"/>
      <c r="AD41" s="27"/>
      <c r="AE41" s="27"/>
      <c r="AF41" s="27"/>
    </row>
    <row r="42" spans="1:32" ht="25.5">
      <c r="A42" s="4" t="s">
        <v>19</v>
      </c>
      <c r="B42" s="4"/>
      <c r="C42" s="4" t="s">
        <v>63</v>
      </c>
      <c r="D42" s="48" t="s">
        <v>180</v>
      </c>
      <c r="E42" s="4" t="s">
        <v>102</v>
      </c>
      <c r="F42" s="14">
        <v>0.3</v>
      </c>
      <c r="G42" s="14">
        <v>201</v>
      </c>
      <c r="H42" s="14">
        <f>ROUND(F42*AE42,2)</f>
        <v>15.19</v>
      </c>
      <c r="I42" s="14">
        <f>J42-H42</f>
        <v>45.11</v>
      </c>
      <c r="J42" s="14">
        <f>ROUND(F42*G42,2)</f>
        <v>60.3</v>
      </c>
      <c r="K42" s="14">
        <v>0</v>
      </c>
      <c r="L42" s="14">
        <f>F42*K42</f>
        <v>0</v>
      </c>
      <c r="N42" s="25" t="s">
        <v>2</v>
      </c>
      <c r="O42" s="14">
        <f>IF(N42="5",I42,0)</f>
        <v>0</v>
      </c>
      <c r="Z42" s="14">
        <f>IF(AD42=0,J42,0)</f>
        <v>0</v>
      </c>
      <c r="AA42" s="14">
        <f>IF(AD42=14,J42,0)</f>
        <v>60.3</v>
      </c>
      <c r="AB42" s="14">
        <f>IF(AD42=20,J42,0)</f>
        <v>0</v>
      </c>
      <c r="AD42" s="27">
        <v>14</v>
      </c>
      <c r="AE42" s="27">
        <f>G42*0.251863636363636</f>
        <v>50.62459090909084</v>
      </c>
      <c r="AF42" s="27">
        <f>G42*(1-0.251863636363636)</f>
        <v>150.37540909090916</v>
      </c>
    </row>
    <row r="43" spans="1:32" ht="12.75">
      <c r="A43" s="4"/>
      <c r="B43" s="4"/>
      <c r="C43" s="4"/>
      <c r="D43" s="48" t="s">
        <v>226</v>
      </c>
      <c r="E43" s="4"/>
      <c r="F43" s="14"/>
      <c r="G43" s="14"/>
      <c r="H43" s="14"/>
      <c r="I43" s="14"/>
      <c r="J43" s="14"/>
      <c r="K43" s="14"/>
      <c r="L43" s="14"/>
      <c r="N43" s="25"/>
      <c r="O43" s="14"/>
      <c r="Z43" s="14"/>
      <c r="AA43" s="14"/>
      <c r="AB43" s="14"/>
      <c r="AD43" s="27"/>
      <c r="AE43" s="27"/>
      <c r="AF43" s="27"/>
    </row>
    <row r="44" spans="1:32" ht="25.5">
      <c r="A44" s="4" t="s">
        <v>20</v>
      </c>
      <c r="B44" s="4"/>
      <c r="C44" s="4" t="s">
        <v>228</v>
      </c>
      <c r="D44" s="48" t="s">
        <v>227</v>
      </c>
      <c r="E44" s="4" t="s">
        <v>102</v>
      </c>
      <c r="F44" s="14">
        <v>1.9</v>
      </c>
      <c r="G44" s="14">
        <v>189</v>
      </c>
      <c r="H44" s="14">
        <f>ROUND(F44*AE44,2)</f>
        <v>100.57</v>
      </c>
      <c r="I44" s="14">
        <f>J44-H44</f>
        <v>258.53000000000003</v>
      </c>
      <c r="J44" s="14">
        <f>ROUND(F44*G44,2)</f>
        <v>359.1</v>
      </c>
      <c r="K44" s="14">
        <v>0</v>
      </c>
      <c r="L44" s="14">
        <f>F44*K44</f>
        <v>0</v>
      </c>
      <c r="N44" s="25" t="s">
        <v>2</v>
      </c>
      <c r="O44" s="14">
        <f>IF(N44="5",I44,0)</f>
        <v>0</v>
      </c>
      <c r="Z44" s="14">
        <f>IF(AD44=0,J44,0)</f>
        <v>0</v>
      </c>
      <c r="AA44" s="14">
        <f>IF(AD44=14,J44,0)</f>
        <v>359.1</v>
      </c>
      <c r="AB44" s="14">
        <f>IF(AD44=20,J44,0)</f>
        <v>0</v>
      </c>
      <c r="AD44" s="27">
        <v>14</v>
      </c>
      <c r="AE44" s="27">
        <f>G44*0.280074349442379</f>
        <v>52.934052044609636</v>
      </c>
      <c r="AF44" s="27">
        <f>G44*(1-0.280074349442379)</f>
        <v>136.06594795539039</v>
      </c>
    </row>
    <row r="45" spans="1:32" ht="12.75">
      <c r="A45" s="4"/>
      <c r="B45" s="4"/>
      <c r="C45" s="4"/>
      <c r="D45" s="48" t="s">
        <v>225</v>
      </c>
      <c r="E45" s="4"/>
      <c r="F45" s="14"/>
      <c r="G45" s="14"/>
      <c r="H45" s="14"/>
      <c r="I45" s="14"/>
      <c r="J45" s="14"/>
      <c r="K45" s="14"/>
      <c r="L45" s="14"/>
      <c r="N45" s="25"/>
      <c r="O45" s="14"/>
      <c r="Z45" s="14"/>
      <c r="AA45" s="14"/>
      <c r="AB45" s="14"/>
      <c r="AD45" s="27"/>
      <c r="AE45" s="27"/>
      <c r="AF45" s="27"/>
    </row>
    <row r="46" spans="1:32" ht="25.5">
      <c r="A46" s="4" t="s">
        <v>21</v>
      </c>
      <c r="B46" s="4"/>
      <c r="C46" s="4" t="s">
        <v>64</v>
      </c>
      <c r="D46" s="48" t="s">
        <v>171</v>
      </c>
      <c r="E46" s="4" t="s">
        <v>102</v>
      </c>
      <c r="F46" s="14">
        <f>F32</f>
        <v>20.1</v>
      </c>
      <c r="G46" s="14">
        <v>87</v>
      </c>
      <c r="H46" s="14">
        <f>ROUND(F46*AE46,2)</f>
        <v>1159.33</v>
      </c>
      <c r="I46" s="14">
        <f>J46-H46</f>
        <v>589.3700000000001</v>
      </c>
      <c r="J46" s="14">
        <f>ROUND(F46*G46,2)</f>
        <v>1748.7</v>
      </c>
      <c r="K46" s="14">
        <v>0</v>
      </c>
      <c r="L46" s="14">
        <f>F46*K46</f>
        <v>0</v>
      </c>
      <c r="N46" s="25" t="s">
        <v>2</v>
      </c>
      <c r="O46" s="14">
        <f>IF(N46="5",I46,0)</f>
        <v>0</v>
      </c>
      <c r="Z46" s="14">
        <f>IF(AD46=0,J46,0)</f>
        <v>0</v>
      </c>
      <c r="AA46" s="14">
        <f>IF(AD46=14,J46,0)</f>
        <v>1748.7</v>
      </c>
      <c r="AB46" s="14">
        <f>IF(AD46=20,J46,0)</f>
        <v>0</v>
      </c>
      <c r="AD46" s="27">
        <v>14</v>
      </c>
      <c r="AE46" s="27">
        <f>G46*0.662969236653735</f>
        <v>57.678323588874946</v>
      </c>
      <c r="AF46" s="27">
        <f>G46*(1-0.662969236653735)</f>
        <v>29.321676411125058</v>
      </c>
    </row>
    <row r="47" spans="1:32" ht="12.75">
      <c r="A47" s="4"/>
      <c r="B47" s="4"/>
      <c r="C47" s="4"/>
      <c r="D47" s="48" t="s">
        <v>219</v>
      </c>
      <c r="E47" s="4"/>
      <c r="F47" s="14"/>
      <c r="G47" s="14"/>
      <c r="H47" s="14"/>
      <c r="I47" s="14"/>
      <c r="J47" s="14"/>
      <c r="K47" s="14"/>
      <c r="L47" s="14"/>
      <c r="N47" s="25"/>
      <c r="O47" s="14"/>
      <c r="Z47" s="14"/>
      <c r="AA47" s="14"/>
      <c r="AB47" s="14"/>
      <c r="AD47" s="27"/>
      <c r="AE47" s="27"/>
      <c r="AF47" s="27"/>
    </row>
    <row r="48" spans="1:32" ht="25.5">
      <c r="A48" s="4" t="s">
        <v>22</v>
      </c>
      <c r="B48" s="4"/>
      <c r="C48" s="4" t="s">
        <v>65</v>
      </c>
      <c r="D48" s="48" t="s">
        <v>172</v>
      </c>
      <c r="E48" s="4" t="s">
        <v>102</v>
      </c>
      <c r="F48" s="14">
        <f>F36</f>
        <v>4.1</v>
      </c>
      <c r="G48" s="14">
        <v>53</v>
      </c>
      <c r="H48" s="14">
        <f>ROUND(F48*AE48,2)</f>
        <v>91.13</v>
      </c>
      <c r="I48" s="14">
        <f>J48-H48</f>
        <v>126.17000000000002</v>
      </c>
      <c r="J48" s="14">
        <f>ROUND(F48*G48,2)</f>
        <v>217.3</v>
      </c>
      <c r="K48" s="14">
        <v>0</v>
      </c>
      <c r="L48" s="14">
        <f>F48*K48</f>
        <v>0</v>
      </c>
      <c r="N48" s="25" t="s">
        <v>2</v>
      </c>
      <c r="O48" s="14">
        <f>IF(N48="5",I48,0)</f>
        <v>0</v>
      </c>
      <c r="Z48" s="14">
        <f>IF(AD48=0,J48,0)</f>
        <v>0</v>
      </c>
      <c r="AA48" s="14">
        <f>IF(AD48=14,J48,0)</f>
        <v>217.3</v>
      </c>
      <c r="AB48" s="14">
        <f>IF(AD48=20,J48,0)</f>
        <v>0</v>
      </c>
      <c r="AD48" s="27">
        <v>14</v>
      </c>
      <c r="AE48" s="27">
        <f>G48*0.419376026272578</f>
        <v>22.226929392446632</v>
      </c>
      <c r="AF48" s="27">
        <f>G48*(1-0.419376026272578)</f>
        <v>30.773070607553368</v>
      </c>
    </row>
    <row r="49" spans="1:32" ht="12.75">
      <c r="A49" s="4"/>
      <c r="B49" s="4"/>
      <c r="C49" s="4"/>
      <c r="D49" s="48" t="s">
        <v>222</v>
      </c>
      <c r="E49" s="4"/>
      <c r="F49" s="14"/>
      <c r="G49" s="14"/>
      <c r="H49" s="14"/>
      <c r="I49" s="14"/>
      <c r="J49" s="14"/>
      <c r="K49" s="14"/>
      <c r="L49" s="14"/>
      <c r="N49" s="25"/>
      <c r="O49" s="14"/>
      <c r="Z49" s="14"/>
      <c r="AA49" s="14"/>
      <c r="AB49" s="14"/>
      <c r="AD49" s="27"/>
      <c r="AE49" s="27"/>
      <c r="AF49" s="27"/>
    </row>
    <row r="50" spans="1:32" ht="25.5">
      <c r="A50" s="4" t="s">
        <v>23</v>
      </c>
      <c r="B50" s="4"/>
      <c r="C50" s="4" t="s">
        <v>66</v>
      </c>
      <c r="D50" s="48" t="s">
        <v>173</v>
      </c>
      <c r="E50" s="4" t="s">
        <v>102</v>
      </c>
      <c r="F50" s="14">
        <f>F38</f>
        <v>0.5</v>
      </c>
      <c r="G50" s="14">
        <v>53</v>
      </c>
      <c r="H50" s="14">
        <f>ROUND(F50*AE50,2)</f>
        <v>11.41</v>
      </c>
      <c r="I50" s="14">
        <f>J50-H50</f>
        <v>15.09</v>
      </c>
      <c r="J50" s="14">
        <f>ROUND(F50*G50,2)</f>
        <v>26.5</v>
      </c>
      <c r="K50" s="14">
        <v>0</v>
      </c>
      <c r="L50" s="14">
        <f>F50*K50</f>
        <v>0</v>
      </c>
      <c r="N50" s="25" t="s">
        <v>2</v>
      </c>
      <c r="O50" s="14">
        <f>IF(N50="5",I50,0)</f>
        <v>0</v>
      </c>
      <c r="Z50" s="14">
        <f>IF(AD50=0,J50,0)</f>
        <v>0</v>
      </c>
      <c r="AA50" s="14">
        <f>IF(AD50=14,J50,0)</f>
        <v>26.5</v>
      </c>
      <c r="AB50" s="14">
        <f>IF(AD50=20,J50,0)</f>
        <v>0</v>
      </c>
      <c r="AD50" s="27">
        <v>14</v>
      </c>
      <c r="AE50" s="27">
        <f>G50*0.430595813204509</f>
        <v>22.821578099838977</v>
      </c>
      <c r="AF50" s="27">
        <f>G50*(1-0.430595813204509)</f>
        <v>30.178421900161023</v>
      </c>
    </row>
    <row r="51" spans="1:32" ht="12.75">
      <c r="A51" s="4"/>
      <c r="B51" s="4"/>
      <c r="C51" s="4"/>
      <c r="D51" s="48" t="s">
        <v>4</v>
      </c>
      <c r="E51" s="4"/>
      <c r="F51" s="14"/>
      <c r="G51" s="14"/>
      <c r="H51" s="14"/>
      <c r="I51" s="14"/>
      <c r="J51" s="14"/>
      <c r="K51" s="14"/>
      <c r="L51" s="14"/>
      <c r="N51" s="25"/>
      <c r="O51" s="14"/>
      <c r="Z51" s="14"/>
      <c r="AA51" s="14"/>
      <c r="AB51" s="14"/>
      <c r="AD51" s="27"/>
      <c r="AE51" s="27"/>
      <c r="AF51" s="27"/>
    </row>
    <row r="52" spans="1:32" ht="25.5">
      <c r="A52" s="4" t="s">
        <v>24</v>
      </c>
      <c r="B52" s="4"/>
      <c r="C52" s="4" t="s">
        <v>230</v>
      </c>
      <c r="D52" s="48" t="s">
        <v>231</v>
      </c>
      <c r="E52" s="4" t="s">
        <v>102</v>
      </c>
      <c r="F52" s="14">
        <v>2</v>
      </c>
      <c r="G52" s="14">
        <v>53</v>
      </c>
      <c r="H52" s="14">
        <f>ROUND(F52*AE52,2)</f>
        <v>47.98</v>
      </c>
      <c r="I52" s="14">
        <f>J52-H52</f>
        <v>58.02</v>
      </c>
      <c r="J52" s="14">
        <f>ROUND(F52*G52,2)</f>
        <v>106</v>
      </c>
      <c r="K52" s="14">
        <v>0</v>
      </c>
      <c r="L52" s="14">
        <f>F52*K52</f>
        <v>0</v>
      </c>
      <c r="N52" s="25" t="s">
        <v>2</v>
      </c>
      <c r="O52" s="14">
        <f>IF(N52="5",I52,0)</f>
        <v>0</v>
      </c>
      <c r="Z52" s="14">
        <f>IF(AD52=0,J52,0)</f>
        <v>0</v>
      </c>
      <c r="AA52" s="14">
        <f>IF(AD52=14,J52,0)</f>
        <v>106</v>
      </c>
      <c r="AB52" s="14">
        <f>IF(AD52=20,J52,0)</f>
        <v>0</v>
      </c>
      <c r="AD52" s="27">
        <v>14</v>
      </c>
      <c r="AE52" s="27">
        <f>G52*0.452601969057665</f>
        <v>23.987904360056245</v>
      </c>
      <c r="AF52" s="27">
        <f>G52*(1-0.452601969057665)</f>
        <v>29.01209563994375</v>
      </c>
    </row>
    <row r="53" spans="1:32" ht="12.75">
      <c r="A53" s="4"/>
      <c r="B53" s="4"/>
      <c r="C53" s="4"/>
      <c r="D53" s="48" t="s">
        <v>223</v>
      </c>
      <c r="E53" s="4"/>
      <c r="F53" s="14"/>
      <c r="G53" s="14"/>
      <c r="H53" s="14"/>
      <c r="I53" s="14"/>
      <c r="J53" s="14"/>
      <c r="K53" s="14"/>
      <c r="L53" s="14"/>
      <c r="N53" s="25"/>
      <c r="O53" s="14"/>
      <c r="Z53" s="14"/>
      <c r="AA53" s="14"/>
      <c r="AB53" s="14"/>
      <c r="AD53" s="27"/>
      <c r="AE53" s="27"/>
      <c r="AF53" s="27"/>
    </row>
    <row r="54" spans="1:32" ht="25.5">
      <c r="A54" s="4" t="s">
        <v>25</v>
      </c>
      <c r="B54" s="4"/>
      <c r="C54" s="4" t="s">
        <v>67</v>
      </c>
      <c r="D54" s="48" t="s">
        <v>174</v>
      </c>
      <c r="E54" s="4" t="s">
        <v>102</v>
      </c>
      <c r="F54" s="14">
        <f>F42</f>
        <v>0.3</v>
      </c>
      <c r="G54" s="14">
        <v>65</v>
      </c>
      <c r="H54" s="14">
        <f>ROUND(F54*AE54,2)</f>
        <v>10.42</v>
      </c>
      <c r="I54" s="14">
        <f>J54-H54</f>
        <v>9.08</v>
      </c>
      <c r="J54" s="14">
        <f>ROUND(F54*G54,2)</f>
        <v>19.5</v>
      </c>
      <c r="K54" s="14">
        <v>5E-05</v>
      </c>
      <c r="L54" s="14">
        <f>F54*K54</f>
        <v>1.5E-05</v>
      </c>
      <c r="N54" s="25" t="s">
        <v>2</v>
      </c>
      <c r="O54" s="14">
        <f>IF(N54="5",I54,0)</f>
        <v>0</v>
      </c>
      <c r="Z54" s="14">
        <f>IF(AD54=0,J54,0)</f>
        <v>0</v>
      </c>
      <c r="AA54" s="14">
        <f>IF(AD54=14,J54,0)</f>
        <v>19.5</v>
      </c>
      <c r="AB54" s="14">
        <f>IF(AD54=20,J54,0)</f>
        <v>0</v>
      </c>
      <c r="AD54" s="27">
        <v>14</v>
      </c>
      <c r="AE54" s="27">
        <f>G54*0.534123847167325</f>
        <v>34.71805006587612</v>
      </c>
      <c r="AF54" s="27">
        <f>G54*(1-0.534123847167325)</f>
        <v>30.281949934123876</v>
      </c>
    </row>
    <row r="55" spans="1:32" ht="12.75">
      <c r="A55" s="4"/>
      <c r="B55" s="4"/>
      <c r="C55" s="4"/>
      <c r="D55" s="48" t="s">
        <v>226</v>
      </c>
      <c r="E55" s="4"/>
      <c r="F55" s="14"/>
      <c r="G55" s="14"/>
      <c r="H55" s="14"/>
      <c r="I55" s="14"/>
      <c r="J55" s="14"/>
      <c r="K55" s="14"/>
      <c r="L55" s="14"/>
      <c r="N55" s="25"/>
      <c r="O55" s="14"/>
      <c r="Z55" s="14"/>
      <c r="AA55" s="14"/>
      <c r="AB55" s="14"/>
      <c r="AD55" s="27"/>
      <c r="AE55" s="27"/>
      <c r="AF55" s="27"/>
    </row>
    <row r="56" spans="1:32" ht="25.5">
      <c r="A56" s="4" t="s">
        <v>26</v>
      </c>
      <c r="B56" s="4"/>
      <c r="C56" s="4" t="s">
        <v>233</v>
      </c>
      <c r="D56" s="48" t="s">
        <v>232</v>
      </c>
      <c r="E56" s="4" t="s">
        <v>102</v>
      </c>
      <c r="F56" s="14">
        <v>1.9</v>
      </c>
      <c r="G56" s="14">
        <v>65</v>
      </c>
      <c r="H56" s="14">
        <f>ROUND(F56*AE56,2)</f>
        <v>67.08</v>
      </c>
      <c r="I56" s="14">
        <f>J56-H56</f>
        <v>56.42</v>
      </c>
      <c r="J56" s="14">
        <f>ROUND(F56*G56,2)</f>
        <v>123.5</v>
      </c>
      <c r="K56" s="14">
        <v>0</v>
      </c>
      <c r="L56" s="14">
        <f>F56*K56</f>
        <v>0</v>
      </c>
      <c r="N56" s="25" t="s">
        <v>2</v>
      </c>
      <c r="O56" s="14">
        <f>IF(N56="5",I56,0)</f>
        <v>0</v>
      </c>
      <c r="Z56" s="14">
        <f>IF(AD56=0,J56,0)</f>
        <v>0</v>
      </c>
      <c r="AA56" s="14">
        <f>IF(AD56=14,J56,0)</f>
        <v>123.5</v>
      </c>
      <c r="AB56" s="14">
        <f>IF(AD56=20,J56,0)</f>
        <v>0</v>
      </c>
      <c r="AD56" s="27">
        <v>14</v>
      </c>
      <c r="AE56" s="27">
        <f>G56*0.543152454780362</f>
        <v>35.30490956072353</v>
      </c>
      <c r="AF56" s="27">
        <f>G56*(1-0.543152454780362)</f>
        <v>29.69509043927647</v>
      </c>
    </row>
    <row r="57" spans="1:32" ht="12.75">
      <c r="A57" s="4"/>
      <c r="B57" s="4"/>
      <c r="C57" s="4"/>
      <c r="D57" s="48" t="s">
        <v>225</v>
      </c>
      <c r="E57" s="4"/>
      <c r="F57" s="14"/>
      <c r="G57" s="14"/>
      <c r="H57" s="14"/>
      <c r="I57" s="14"/>
      <c r="J57" s="14"/>
      <c r="K57" s="14"/>
      <c r="L57" s="14"/>
      <c r="N57" s="25"/>
      <c r="O57" s="14"/>
      <c r="Z57" s="14"/>
      <c r="AA57" s="14"/>
      <c r="AB57" s="14"/>
      <c r="AD57" s="27"/>
      <c r="AE57" s="27"/>
      <c r="AF57" s="27"/>
    </row>
    <row r="58" spans="1:32" ht="12.75">
      <c r="A58" s="4" t="s">
        <v>27</v>
      </c>
      <c r="B58" s="4"/>
      <c r="C58" s="4" t="s">
        <v>68</v>
      </c>
      <c r="D58" s="48" t="s">
        <v>251</v>
      </c>
      <c r="E58" s="4" t="s">
        <v>102</v>
      </c>
      <c r="F58" s="14">
        <f>F36+F42+F40+F44</f>
        <v>8.299999999999999</v>
      </c>
      <c r="G58" s="14">
        <v>52</v>
      </c>
      <c r="H58" s="14">
        <f>ROUND(F58*AE58,2)</f>
        <v>52.31</v>
      </c>
      <c r="I58" s="14">
        <f>J58-H58</f>
        <v>379.29</v>
      </c>
      <c r="J58" s="14">
        <f>ROUND(F58*G58,2)</f>
        <v>431.6</v>
      </c>
      <c r="K58" s="14">
        <v>0</v>
      </c>
      <c r="L58" s="14">
        <f>F58*K58</f>
        <v>0</v>
      </c>
      <c r="N58" s="25" t="s">
        <v>2</v>
      </c>
      <c r="O58" s="14">
        <f>IF(N58="5",I58,0)</f>
        <v>0</v>
      </c>
      <c r="Z58" s="14">
        <f>IF(AD58=0,J58,0)</f>
        <v>0</v>
      </c>
      <c r="AA58" s="14">
        <f>IF(AD58=14,J58,0)</f>
        <v>431.6</v>
      </c>
      <c r="AB58" s="14">
        <f>IF(AD58=20,J58,0)</f>
        <v>0</v>
      </c>
      <c r="AD58" s="27">
        <v>14</v>
      </c>
      <c r="AE58" s="27">
        <f>G58*0.121194605009634</f>
        <v>6.302119460500968</v>
      </c>
      <c r="AF58" s="27">
        <f>G58*(1-0.121194605009634)</f>
        <v>45.69788053949903</v>
      </c>
    </row>
    <row r="59" spans="1:32" ht="12.75">
      <c r="A59" s="4"/>
      <c r="B59" s="4"/>
      <c r="C59" s="4"/>
      <c r="D59" s="48" t="s">
        <v>234</v>
      </c>
      <c r="E59" s="4"/>
      <c r="F59" s="14"/>
      <c r="G59" s="14"/>
      <c r="H59" s="14"/>
      <c r="I59" s="14"/>
      <c r="J59" s="14"/>
      <c r="K59" s="14"/>
      <c r="L59" s="14"/>
      <c r="N59" s="25"/>
      <c r="O59" s="14"/>
      <c r="Z59" s="14"/>
      <c r="AA59" s="14"/>
      <c r="AB59" s="14"/>
      <c r="AD59" s="27"/>
      <c r="AE59" s="27"/>
      <c r="AF59" s="27"/>
    </row>
    <row r="60" spans="1:32" ht="12.75">
      <c r="A60" s="4" t="s">
        <v>28</v>
      </c>
      <c r="B60" s="4"/>
      <c r="C60" s="4" t="s">
        <v>69</v>
      </c>
      <c r="D60" s="48" t="s">
        <v>91</v>
      </c>
      <c r="E60" s="4" t="s">
        <v>102</v>
      </c>
      <c r="F60" s="14">
        <f>F38</f>
        <v>0.5</v>
      </c>
      <c r="G60" s="14">
        <v>54</v>
      </c>
      <c r="H60" s="14">
        <f>ROUND(F60*AE60,2)</f>
        <v>3.13</v>
      </c>
      <c r="I60" s="14">
        <f>J60-H60</f>
        <v>23.87</v>
      </c>
      <c r="J60" s="14">
        <f>ROUND(F60*G60,2)</f>
        <v>27</v>
      </c>
      <c r="K60" s="14">
        <v>0</v>
      </c>
      <c r="L60" s="14">
        <f>F60*K60</f>
        <v>0</v>
      </c>
      <c r="N60" s="25" t="s">
        <v>2</v>
      </c>
      <c r="O60" s="14">
        <f>IF(N60="5",I60,0)</f>
        <v>0</v>
      </c>
      <c r="Z60" s="14">
        <f>IF(AD60=0,J60,0)</f>
        <v>0</v>
      </c>
      <c r="AA60" s="14">
        <f>IF(AD60=14,J60,0)</f>
        <v>27</v>
      </c>
      <c r="AB60" s="14">
        <f>IF(AD60=20,J60,0)</f>
        <v>0</v>
      </c>
      <c r="AD60" s="27">
        <v>14</v>
      </c>
      <c r="AE60" s="27">
        <f>G60*0.115837937384899</f>
        <v>6.255248618784546</v>
      </c>
      <c r="AF60" s="27">
        <f>G60*(1-0.115837937384899)</f>
        <v>47.74475138121545</v>
      </c>
    </row>
    <row r="61" spans="1:32" ht="12.75">
      <c r="A61" s="4"/>
      <c r="B61" s="4"/>
      <c r="C61" s="4"/>
      <c r="D61" s="48" t="s">
        <v>163</v>
      </c>
      <c r="E61" s="4"/>
      <c r="F61" s="14"/>
      <c r="G61" s="14"/>
      <c r="H61" s="14"/>
      <c r="I61" s="14"/>
      <c r="J61" s="14"/>
      <c r="K61" s="14"/>
      <c r="L61" s="14"/>
      <c r="N61" s="25"/>
      <c r="O61" s="14"/>
      <c r="Z61" s="14"/>
      <c r="AA61" s="14"/>
      <c r="AB61" s="14"/>
      <c r="AD61" s="27"/>
      <c r="AE61" s="27"/>
      <c r="AF61" s="27"/>
    </row>
    <row r="62" spans="1:32" ht="12.75">
      <c r="A62" s="4" t="s">
        <v>29</v>
      </c>
      <c r="B62" s="4"/>
      <c r="C62" s="4" t="s">
        <v>70</v>
      </c>
      <c r="D62" s="48" t="s">
        <v>92</v>
      </c>
      <c r="E62" s="4" t="s">
        <v>103</v>
      </c>
      <c r="F62" s="14">
        <v>8</v>
      </c>
      <c r="G62" s="14">
        <v>153</v>
      </c>
      <c r="H62" s="14">
        <f>ROUND(F62*AE62,2)</f>
        <v>0</v>
      </c>
      <c r="I62" s="14">
        <f>J62-H62</f>
        <v>1224</v>
      </c>
      <c r="J62" s="14">
        <f>ROUND(F62*G62,2)</f>
        <v>1224</v>
      </c>
      <c r="K62" s="14">
        <v>0</v>
      </c>
      <c r="L62" s="14">
        <f>F62*K62</f>
        <v>0</v>
      </c>
      <c r="N62" s="25" t="s">
        <v>2</v>
      </c>
      <c r="O62" s="14">
        <f>IF(N62="5",I62,0)</f>
        <v>0</v>
      </c>
      <c r="Z62" s="14">
        <f>IF(AD62=0,J62,0)</f>
        <v>0</v>
      </c>
      <c r="AA62" s="14">
        <f>IF(AD62=14,J62,0)</f>
        <v>1224</v>
      </c>
      <c r="AB62" s="14">
        <f>IF(AD62=20,J62,0)</f>
        <v>0</v>
      </c>
      <c r="AD62" s="27">
        <v>14</v>
      </c>
      <c r="AE62" s="27">
        <f>G62*0</f>
        <v>0</v>
      </c>
      <c r="AF62" s="27">
        <f>G62*(1-0)</f>
        <v>153</v>
      </c>
    </row>
    <row r="63" spans="1:32" ht="12.75">
      <c r="A63" s="4"/>
      <c r="B63" s="4"/>
      <c r="C63" s="4"/>
      <c r="D63" s="48"/>
      <c r="E63" s="4"/>
      <c r="F63" s="14"/>
      <c r="G63" s="14"/>
      <c r="H63" s="14"/>
      <c r="I63" s="14"/>
      <c r="J63" s="14"/>
      <c r="K63" s="14"/>
      <c r="L63" s="14"/>
      <c r="N63" s="25"/>
      <c r="O63" s="14"/>
      <c r="Z63" s="14"/>
      <c r="AA63" s="14"/>
      <c r="AB63" s="14"/>
      <c r="AD63" s="27"/>
      <c r="AE63" s="27"/>
      <c r="AF63" s="27"/>
    </row>
    <row r="64" spans="1:32" ht="12.75">
      <c r="A64" s="4" t="s">
        <v>30</v>
      </c>
      <c r="B64" s="4"/>
      <c r="C64" s="4" t="s">
        <v>71</v>
      </c>
      <c r="D64" s="48" t="s">
        <v>93</v>
      </c>
      <c r="E64" s="4" t="s">
        <v>103</v>
      </c>
      <c r="F64" s="14">
        <v>3</v>
      </c>
      <c r="G64" s="14">
        <v>203</v>
      </c>
      <c r="H64" s="14">
        <f>ROUND(F64*AE64,2)</f>
        <v>0</v>
      </c>
      <c r="I64" s="14">
        <f>J64-H64</f>
        <v>609</v>
      </c>
      <c r="J64" s="14">
        <f>ROUND(F64*G64,2)</f>
        <v>609</v>
      </c>
      <c r="K64" s="14">
        <v>0</v>
      </c>
      <c r="L64" s="14">
        <f>F64*K64</f>
        <v>0</v>
      </c>
      <c r="N64" s="25" t="s">
        <v>2</v>
      </c>
      <c r="O64" s="14">
        <f>IF(N64="5",I64,0)</f>
        <v>0</v>
      </c>
      <c r="Z64" s="14">
        <f>IF(AD64=0,J64,0)</f>
        <v>0</v>
      </c>
      <c r="AA64" s="14">
        <f>IF(AD64=14,J64,0)</f>
        <v>609</v>
      </c>
      <c r="AB64" s="14">
        <f>IF(AD64=20,J64,0)</f>
        <v>0</v>
      </c>
      <c r="AD64" s="27">
        <v>14</v>
      </c>
      <c r="AE64" s="27">
        <f>G64*0</f>
        <v>0</v>
      </c>
      <c r="AF64" s="27">
        <f>G64*(1-0)</f>
        <v>203</v>
      </c>
    </row>
    <row r="65" spans="1:32" ht="12.75">
      <c r="A65" s="4"/>
      <c r="B65" s="4"/>
      <c r="C65" s="4"/>
      <c r="D65" s="48"/>
      <c r="E65" s="4"/>
      <c r="F65" s="14"/>
      <c r="G65" s="14"/>
      <c r="H65" s="14"/>
      <c r="I65" s="14"/>
      <c r="J65" s="14"/>
      <c r="K65" s="14"/>
      <c r="L65" s="14"/>
      <c r="N65" s="25"/>
      <c r="O65" s="14"/>
      <c r="Z65" s="14"/>
      <c r="AA65" s="14"/>
      <c r="AB65" s="14"/>
      <c r="AD65" s="27"/>
      <c r="AE65" s="27"/>
      <c r="AF65" s="27"/>
    </row>
    <row r="66" spans="1:32" ht="12.75">
      <c r="A66" s="4" t="s">
        <v>31</v>
      </c>
      <c r="B66" s="4"/>
      <c r="C66" s="4" t="s">
        <v>72</v>
      </c>
      <c r="D66" s="48" t="s">
        <v>94</v>
      </c>
      <c r="E66" s="4" t="s">
        <v>103</v>
      </c>
      <c r="F66" s="14">
        <v>3</v>
      </c>
      <c r="G66" s="14">
        <v>31550</v>
      </c>
      <c r="H66" s="14">
        <f>ROUND(F66*AE66,2)</f>
        <v>91033.21</v>
      </c>
      <c r="I66" s="14">
        <f>J66-H66</f>
        <v>3616.7899999999936</v>
      </c>
      <c r="J66" s="14">
        <f>ROUND(F66*G66,2)</f>
        <v>94650</v>
      </c>
      <c r="K66" s="14">
        <v>0</v>
      </c>
      <c r="L66" s="14">
        <f>F66*K66</f>
        <v>0</v>
      </c>
      <c r="N66" s="25" t="s">
        <v>2</v>
      </c>
      <c r="O66" s="14">
        <f>IF(N66="5",I66,0)</f>
        <v>0</v>
      </c>
      <c r="Z66" s="14">
        <f>IF(AD66=0,J66,0)</f>
        <v>0</v>
      </c>
      <c r="AA66" s="14">
        <f>IF(AD66=14,J66,0)</f>
        <v>94650</v>
      </c>
      <c r="AB66" s="14">
        <f>IF(AD66=20,J66,0)</f>
        <v>0</v>
      </c>
      <c r="AD66" s="27">
        <v>14</v>
      </c>
      <c r="AE66" s="27">
        <f>G66*0.96178779661017</f>
        <v>30344.404983050863</v>
      </c>
      <c r="AF66" s="27">
        <f>G66*(1-0.96178779661017)</f>
        <v>1205.5950169491366</v>
      </c>
    </row>
    <row r="67" spans="1:32" ht="81" customHeight="1">
      <c r="A67" s="4"/>
      <c r="B67" s="4"/>
      <c r="C67" s="4"/>
      <c r="D67" s="50" t="s">
        <v>166</v>
      </c>
      <c r="E67" s="4"/>
      <c r="F67" s="14"/>
      <c r="G67" s="14"/>
      <c r="H67" s="14"/>
      <c r="I67" s="14"/>
      <c r="J67" s="14"/>
      <c r="K67" s="14"/>
      <c r="L67" s="14"/>
      <c r="N67" s="25"/>
      <c r="O67" s="14"/>
      <c r="Z67" s="14"/>
      <c r="AA67" s="14"/>
      <c r="AB67" s="14"/>
      <c r="AD67" s="27"/>
      <c r="AE67" s="27"/>
      <c r="AF67" s="27"/>
    </row>
    <row r="68" spans="1:32" ht="12.75">
      <c r="A68" s="4" t="s">
        <v>32</v>
      </c>
      <c r="B68" s="4"/>
      <c r="C68" s="4" t="s">
        <v>240</v>
      </c>
      <c r="D68" s="4" t="s">
        <v>241</v>
      </c>
      <c r="E68" s="4" t="s">
        <v>106</v>
      </c>
      <c r="F68" s="14">
        <v>1</v>
      </c>
      <c r="G68" s="14">
        <v>4870</v>
      </c>
      <c r="H68" s="14">
        <f>ROUND(F68*AE68,2)</f>
        <v>4689.81</v>
      </c>
      <c r="I68" s="14">
        <f>J68-H68</f>
        <v>180.1899999999996</v>
      </c>
      <c r="J68" s="14">
        <f>ROUND(F68*G68,2)</f>
        <v>4870</v>
      </c>
      <c r="K68" s="14">
        <v>0</v>
      </c>
      <c r="L68" s="14">
        <f>F68*K68</f>
        <v>0</v>
      </c>
      <c r="N68" s="25" t="s">
        <v>2</v>
      </c>
      <c r="O68" s="14">
        <f>IF(N68="5",I68,0)</f>
        <v>0</v>
      </c>
      <c r="Z68" s="14">
        <f>IF(AD68=0,J68,0)</f>
        <v>0</v>
      </c>
      <c r="AA68" s="14">
        <f>IF(AD68=14,J68,0)</f>
        <v>4870</v>
      </c>
      <c r="AB68" s="14">
        <f>IF(AD68=20,J68,0)</f>
        <v>0</v>
      </c>
      <c r="AD68" s="27">
        <v>14</v>
      </c>
      <c r="AE68" s="27">
        <f>G68*0.963</f>
        <v>4689.8099999999995</v>
      </c>
      <c r="AF68" s="27">
        <f>G68*(1-0.963)</f>
        <v>180.19000000000017</v>
      </c>
    </row>
    <row r="69" spans="1:32" ht="12.75">
      <c r="A69" s="4" t="s">
        <v>33</v>
      </c>
      <c r="B69" s="4"/>
      <c r="C69" s="4" t="s">
        <v>242</v>
      </c>
      <c r="D69" s="4" t="s">
        <v>243</v>
      </c>
      <c r="E69" s="4" t="s">
        <v>103</v>
      </c>
      <c r="F69" s="14">
        <v>1</v>
      </c>
      <c r="G69" s="14">
        <v>1367</v>
      </c>
      <c r="H69" s="14">
        <f>ROUND(F69*AE69,2)</f>
        <v>853.63</v>
      </c>
      <c r="I69" s="14">
        <f>J69-H69</f>
        <v>513.37</v>
      </c>
      <c r="J69" s="14">
        <f>ROUND(F69*G69,2)</f>
        <v>1367</v>
      </c>
      <c r="K69" s="14">
        <v>0</v>
      </c>
      <c r="L69" s="14">
        <f>F69*K69</f>
        <v>0</v>
      </c>
      <c r="N69" s="25" t="s">
        <v>2</v>
      </c>
      <c r="O69" s="14">
        <f>IF(N69="5",I69,0)</f>
        <v>0</v>
      </c>
      <c r="Z69" s="14">
        <f>IF(AD69=0,J69,0)</f>
        <v>0</v>
      </c>
      <c r="AA69" s="14">
        <f>IF(AD69=14,J69,0)</f>
        <v>1367</v>
      </c>
      <c r="AB69" s="14">
        <f>IF(AD69=20,J69,0)</f>
        <v>0</v>
      </c>
      <c r="AD69" s="27">
        <v>14</v>
      </c>
      <c r="AE69" s="27">
        <f>G69*0.624455010972933</f>
        <v>853.6299999999994</v>
      </c>
      <c r="AF69" s="27">
        <f>G69*(1-0.624455010972933)</f>
        <v>513.3700000000006</v>
      </c>
    </row>
    <row r="70" spans="1:32" ht="12.75">
      <c r="A70" s="4" t="s">
        <v>34</v>
      </c>
      <c r="B70" s="4"/>
      <c r="C70" s="4" t="s">
        <v>255</v>
      </c>
      <c r="D70" s="4" t="s">
        <v>257</v>
      </c>
      <c r="E70" s="4" t="s">
        <v>103</v>
      </c>
      <c r="F70" s="14">
        <v>1</v>
      </c>
      <c r="G70" s="14">
        <v>4684</v>
      </c>
      <c r="H70" s="14">
        <f>ROUND(F70*AE70,2)</f>
        <v>4446.13</v>
      </c>
      <c r="I70" s="14">
        <f>J70-H70</f>
        <v>237.8699999999999</v>
      </c>
      <c r="J70" s="14">
        <f>ROUND(F70*G70,2)</f>
        <v>4684</v>
      </c>
      <c r="K70" s="14">
        <v>0</v>
      </c>
      <c r="L70" s="14">
        <f>F70*K70</f>
        <v>0</v>
      </c>
      <c r="N70" s="25" t="s">
        <v>2</v>
      </c>
      <c r="O70" s="14">
        <f>IF(N70="5",I70,0)</f>
        <v>0</v>
      </c>
      <c r="Z70" s="14">
        <f>IF(AD70=0,J70,0)</f>
        <v>0</v>
      </c>
      <c r="AA70" s="14">
        <f>IF(AD70=14,J70,0)</f>
        <v>4684</v>
      </c>
      <c r="AB70" s="14">
        <f>IF(AD70=20,J70,0)</f>
        <v>0</v>
      </c>
      <c r="AD70" s="27">
        <v>14</v>
      </c>
      <c r="AE70" s="27">
        <f>G70*0.949217421240077</f>
        <v>4446.1344010885205</v>
      </c>
      <c r="AF70" s="27">
        <f>G70*(1-0.949217421240077)</f>
        <v>237.86559891147925</v>
      </c>
    </row>
    <row r="71" spans="1:32" ht="12" customHeight="1">
      <c r="A71" s="6" t="s">
        <v>35</v>
      </c>
      <c r="B71" s="6"/>
      <c r="C71" s="6" t="s">
        <v>177</v>
      </c>
      <c r="D71" s="6" t="s">
        <v>178</v>
      </c>
      <c r="E71" s="6" t="s">
        <v>103</v>
      </c>
      <c r="F71" s="15">
        <v>2</v>
      </c>
      <c r="G71" s="14">
        <v>189</v>
      </c>
      <c r="H71" s="15">
        <f>ROUND(F71*AE71,2)</f>
        <v>378</v>
      </c>
      <c r="I71" s="15">
        <f>J71-H71</f>
        <v>0</v>
      </c>
      <c r="J71" s="15">
        <f>ROUND(F71*G71,2)</f>
        <v>378</v>
      </c>
      <c r="K71" s="14">
        <v>0</v>
      </c>
      <c r="L71" s="15">
        <f>F71*K71</f>
        <v>0</v>
      </c>
      <c r="N71" s="26" t="s">
        <v>116</v>
      </c>
      <c r="O71" s="15">
        <f>IF(N71="5",I71,0)</f>
        <v>0</v>
      </c>
      <c r="Z71" s="15">
        <f>IF(AD71=0,J71,0)</f>
        <v>0</v>
      </c>
      <c r="AA71" s="15">
        <f>IF(AD71=14,J71,0)</f>
        <v>378</v>
      </c>
      <c r="AB71" s="15">
        <f>IF(AD71=20,J71,0)</f>
        <v>0</v>
      </c>
      <c r="AD71" s="27">
        <v>14</v>
      </c>
      <c r="AE71" s="27">
        <f>G71*1</f>
        <v>189</v>
      </c>
      <c r="AF71" s="27">
        <f>G71*(1-1)</f>
        <v>0</v>
      </c>
    </row>
    <row r="72" spans="1:32" ht="12.75">
      <c r="A72" s="4" t="s">
        <v>36</v>
      </c>
      <c r="B72" s="4"/>
      <c r="C72" s="4" t="s">
        <v>175</v>
      </c>
      <c r="D72" s="4" t="s">
        <v>179</v>
      </c>
      <c r="E72" s="4" t="s">
        <v>176</v>
      </c>
      <c r="F72" s="14">
        <f>F44+F42+F32+F36+F38+F40+F34</f>
        <v>30.599999999999998</v>
      </c>
      <c r="G72" s="14">
        <v>141</v>
      </c>
      <c r="H72" s="14">
        <f>ROUND(F72*AE72,2)</f>
        <v>401.06</v>
      </c>
      <c r="I72" s="14">
        <f>J72-H72</f>
        <v>3913.5400000000004</v>
      </c>
      <c r="J72" s="14">
        <f>ROUND(F72*G72,2)</f>
        <v>4314.6</v>
      </c>
      <c r="K72" s="14">
        <v>0</v>
      </c>
      <c r="L72" s="14">
        <f>F72*K72</f>
        <v>0</v>
      </c>
      <c r="N72" s="25" t="s">
        <v>2</v>
      </c>
      <c r="O72" s="14">
        <f>IF(N72="5",I72,0)</f>
        <v>0</v>
      </c>
      <c r="Z72" s="14">
        <f>IF(AD72=0,J72,0)</f>
        <v>0</v>
      </c>
      <c r="AA72" s="14">
        <f>IF(AD72=14,J72,0)</f>
        <v>4314.6</v>
      </c>
      <c r="AB72" s="14">
        <f>IF(AD72=20,J72,0)</f>
        <v>0</v>
      </c>
      <c r="AD72" s="27">
        <v>14</v>
      </c>
      <c r="AE72" s="27">
        <f>G72*0.0929537366548043</f>
        <v>13.106476868327407</v>
      </c>
      <c r="AF72" s="27">
        <f>G72*(1-0.0929537366548043)</f>
        <v>127.8935231316726</v>
      </c>
    </row>
    <row r="73" spans="1:32" ht="12.75">
      <c r="A73" s="4"/>
      <c r="B73" s="4"/>
      <c r="C73" s="4"/>
      <c r="D73" s="4" t="s">
        <v>253</v>
      </c>
      <c r="E73" s="4"/>
      <c r="F73" s="14"/>
      <c r="G73" s="14"/>
      <c r="H73" s="14"/>
      <c r="I73" s="14"/>
      <c r="J73" s="14"/>
      <c r="K73" s="14"/>
      <c r="L73" s="14"/>
      <c r="N73" s="25"/>
      <c r="O73" s="14"/>
      <c r="Z73" s="14"/>
      <c r="AA73" s="14"/>
      <c r="AB73" s="14"/>
      <c r="AD73" s="27"/>
      <c r="AE73" s="27"/>
      <c r="AF73" s="27"/>
    </row>
    <row r="74" spans="1:32" ht="12.75">
      <c r="A74" s="131" t="s">
        <v>37</v>
      </c>
      <c r="B74" s="6"/>
      <c r="C74" s="6" t="s">
        <v>244</v>
      </c>
      <c r="D74" s="6" t="s">
        <v>245</v>
      </c>
      <c r="E74" s="6" t="s">
        <v>103</v>
      </c>
      <c r="F74" s="15">
        <v>1</v>
      </c>
      <c r="G74" s="14">
        <v>613</v>
      </c>
      <c r="H74" s="15">
        <f>ROUND(F74*AE74,2)</f>
        <v>613</v>
      </c>
      <c r="I74" s="15">
        <f>J74-H74</f>
        <v>0</v>
      </c>
      <c r="J74" s="15">
        <f>ROUND(F74*G74,2)</f>
        <v>613</v>
      </c>
      <c r="K74" s="14">
        <v>0</v>
      </c>
      <c r="L74" s="15">
        <f>F74*K74</f>
        <v>0</v>
      </c>
      <c r="N74" s="26" t="s">
        <v>116</v>
      </c>
      <c r="O74" s="15">
        <f>IF(N74="5",I74,0)</f>
        <v>0</v>
      </c>
      <c r="Z74" s="15">
        <f>IF(AD74=0,J74,0)</f>
        <v>0</v>
      </c>
      <c r="AA74" s="15">
        <f>IF(AD74=14,J74,0)</f>
        <v>613</v>
      </c>
      <c r="AB74" s="15">
        <f>IF(AD74=20,J74,0)</f>
        <v>0</v>
      </c>
      <c r="AD74" s="27">
        <v>14</v>
      </c>
      <c r="AE74" s="27">
        <f>G74*1</f>
        <v>613</v>
      </c>
      <c r="AF74" s="27">
        <f>G74*(1-1)</f>
        <v>0</v>
      </c>
    </row>
    <row r="75" spans="1:32" ht="12.75">
      <c r="A75" s="4" t="s">
        <v>38</v>
      </c>
      <c r="B75" s="4"/>
      <c r="C75" s="4" t="s">
        <v>73</v>
      </c>
      <c r="D75" s="48" t="s">
        <v>238</v>
      </c>
      <c r="E75" s="4" t="s">
        <v>102</v>
      </c>
      <c r="F75" s="14">
        <f>F36+F38+F40+F42+F44</f>
        <v>8.799999999999999</v>
      </c>
      <c r="G75" s="14">
        <v>21</v>
      </c>
      <c r="H75" s="14">
        <f>ROUND(F75*AE75,2)</f>
        <v>3.38</v>
      </c>
      <c r="I75" s="14">
        <f>J75-H75</f>
        <v>181.42000000000002</v>
      </c>
      <c r="J75" s="14">
        <f>ROUND(F75*G75,2)</f>
        <v>184.8</v>
      </c>
      <c r="K75" s="14">
        <v>0</v>
      </c>
      <c r="L75" s="14">
        <f>F75*K75</f>
        <v>0</v>
      </c>
      <c r="N75" s="25" t="s">
        <v>2</v>
      </c>
      <c r="O75" s="14">
        <f>IF(N75="5",I75,0)</f>
        <v>0</v>
      </c>
      <c r="Z75" s="14">
        <f>IF(AD75=0,J75,0)</f>
        <v>0</v>
      </c>
      <c r="AA75" s="14">
        <f>IF(AD75=14,J75,0)</f>
        <v>184.8</v>
      </c>
      <c r="AB75" s="14">
        <f>IF(AD75=20,J75,0)</f>
        <v>0</v>
      </c>
      <c r="AD75" s="27">
        <v>14</v>
      </c>
      <c r="AE75" s="27">
        <f>G75*0.0182795698924731</f>
        <v>0.38387096774193513</v>
      </c>
      <c r="AF75" s="27">
        <f>G75*(1-0.0182795698924731)</f>
        <v>20.616129032258065</v>
      </c>
    </row>
    <row r="76" spans="1:32" ht="12.75">
      <c r="A76" s="4"/>
      <c r="B76" s="4"/>
      <c r="C76" s="4"/>
      <c r="D76" s="48" t="s">
        <v>258</v>
      </c>
      <c r="E76" s="4"/>
      <c r="F76" s="14"/>
      <c r="G76" s="14"/>
      <c r="H76" s="14"/>
      <c r="I76" s="14"/>
      <c r="J76" s="14"/>
      <c r="K76" s="14"/>
      <c r="L76" s="14"/>
      <c r="N76" s="25"/>
      <c r="O76" s="14"/>
      <c r="Z76" s="14"/>
      <c r="AA76" s="14"/>
      <c r="AB76" s="14"/>
      <c r="AD76" s="27"/>
      <c r="AE76" s="27"/>
      <c r="AF76" s="27"/>
    </row>
    <row r="77" spans="1:32" ht="12.75">
      <c r="A77" s="4" t="s">
        <v>39</v>
      </c>
      <c r="B77" s="4"/>
      <c r="C77" s="4" t="s">
        <v>74</v>
      </c>
      <c r="D77" s="48" t="s">
        <v>236</v>
      </c>
      <c r="E77" s="4" t="s">
        <v>102</v>
      </c>
      <c r="F77" s="14">
        <f>F32+F34</f>
        <v>21.8</v>
      </c>
      <c r="G77" s="14">
        <v>63</v>
      </c>
      <c r="H77" s="14">
        <f>ROUND(F77*AE77,2)</f>
        <v>336.3</v>
      </c>
      <c r="I77" s="14">
        <f>J77-H77</f>
        <v>1037.1000000000001</v>
      </c>
      <c r="J77" s="14">
        <f>ROUND(F77*G77,2)</f>
        <v>1373.4</v>
      </c>
      <c r="K77" s="14">
        <v>0</v>
      </c>
      <c r="L77" s="14">
        <f>F77*K77</f>
        <v>0</v>
      </c>
      <c r="N77" s="25" t="s">
        <v>2</v>
      </c>
      <c r="O77" s="14">
        <f>IF(N77="5",I77,0)</f>
        <v>0</v>
      </c>
      <c r="Z77" s="14">
        <f>IF(AD77=0,J77,0)</f>
        <v>0</v>
      </c>
      <c r="AA77" s="14">
        <f>IF(AD77=14,J77,0)</f>
        <v>1373.4</v>
      </c>
      <c r="AB77" s="14">
        <f>IF(AD77=20,J77,0)</f>
        <v>0</v>
      </c>
      <c r="AD77" s="27">
        <v>14</v>
      </c>
      <c r="AE77" s="27">
        <f>G77*0.244865718799368</f>
        <v>15.426540284360184</v>
      </c>
      <c r="AF77" s="27">
        <f>G77*(1-0.244865718799368)</f>
        <v>47.573459715639814</v>
      </c>
    </row>
    <row r="78" spans="1:32" ht="12.75">
      <c r="A78" s="4"/>
      <c r="B78" s="4"/>
      <c r="C78" s="4"/>
      <c r="D78" s="48" t="s">
        <v>252</v>
      </c>
      <c r="E78" s="4"/>
      <c r="F78" s="14"/>
      <c r="G78" s="14"/>
      <c r="H78" s="14"/>
      <c r="I78" s="14"/>
      <c r="J78" s="14"/>
      <c r="K78" s="14"/>
      <c r="L78" s="14"/>
      <c r="N78" s="25"/>
      <c r="O78" s="14"/>
      <c r="Z78" s="14"/>
      <c r="AA78" s="14"/>
      <c r="AB78" s="14"/>
      <c r="AD78" s="27"/>
      <c r="AE78" s="27"/>
      <c r="AF78" s="27"/>
    </row>
    <row r="79" spans="1:32" ht="13.5" customHeight="1">
      <c r="A79" s="4" t="s">
        <v>40</v>
      </c>
      <c r="B79" s="4"/>
      <c r="C79" s="4" t="s">
        <v>75</v>
      </c>
      <c r="D79" s="48" t="s">
        <v>237</v>
      </c>
      <c r="E79" s="4" t="s">
        <v>102</v>
      </c>
      <c r="F79" s="14">
        <f>F77+F75</f>
        <v>30.6</v>
      </c>
      <c r="G79" s="14">
        <v>21</v>
      </c>
      <c r="H79" s="14">
        <f>ROUND(F79*AE79,2)</f>
        <v>42.74</v>
      </c>
      <c r="I79" s="14">
        <f>J79-H79</f>
        <v>599.86</v>
      </c>
      <c r="J79" s="14">
        <f>ROUND(F79*G79,2)</f>
        <v>642.6</v>
      </c>
      <c r="K79" s="14">
        <v>0</v>
      </c>
      <c r="L79" s="14">
        <f>F79*K79</f>
        <v>0</v>
      </c>
      <c r="N79" s="25" t="s">
        <v>2</v>
      </c>
      <c r="O79" s="14">
        <f>IF(N79="5",I79,0)</f>
        <v>0</v>
      </c>
      <c r="Z79" s="14">
        <f>IF(AD79=0,J79,0)</f>
        <v>0</v>
      </c>
      <c r="AA79" s="14">
        <f>IF(AD79=14,J79,0)</f>
        <v>642.6</v>
      </c>
      <c r="AB79" s="14">
        <f>IF(AD79=20,J79,0)</f>
        <v>0</v>
      </c>
      <c r="AD79" s="27">
        <v>14</v>
      </c>
      <c r="AE79" s="27">
        <f>G79*0.0665071770334928</f>
        <v>1.396650717703349</v>
      </c>
      <c r="AF79" s="27">
        <f>G79*(1-0.0665071770334928)</f>
        <v>19.60334928229665</v>
      </c>
    </row>
    <row r="80" spans="1:32" ht="13.5" customHeight="1">
      <c r="A80" s="4"/>
      <c r="B80" s="4"/>
      <c r="C80" s="4"/>
      <c r="D80" s="48" t="s">
        <v>259</v>
      </c>
      <c r="E80" s="4"/>
      <c r="F80" s="14"/>
      <c r="G80" s="14"/>
      <c r="H80" s="14"/>
      <c r="I80" s="14"/>
      <c r="J80" s="14"/>
      <c r="K80" s="14"/>
      <c r="L80" s="14"/>
      <c r="N80" s="25"/>
      <c r="O80" s="14"/>
      <c r="Z80" s="14"/>
      <c r="AA80" s="14"/>
      <c r="AB80" s="14"/>
      <c r="AD80" s="27"/>
      <c r="AE80" s="27"/>
      <c r="AF80" s="27"/>
    </row>
    <row r="81" spans="1:32" ht="12.75">
      <c r="A81" s="4" t="s">
        <v>41</v>
      </c>
      <c r="B81" s="4"/>
      <c r="C81" s="4" t="s">
        <v>76</v>
      </c>
      <c r="D81" s="48" t="s">
        <v>95</v>
      </c>
      <c r="E81" s="4" t="s">
        <v>104</v>
      </c>
      <c r="F81" s="14">
        <v>0.56</v>
      </c>
      <c r="G81" s="14">
        <v>448</v>
      </c>
      <c r="H81" s="14">
        <f>ROUND(F81*AE81,2)</f>
        <v>0</v>
      </c>
      <c r="I81" s="14">
        <f>J81-H81</f>
        <v>250.88</v>
      </c>
      <c r="J81" s="14">
        <f>ROUND(F81*G81,2)</f>
        <v>250.88</v>
      </c>
      <c r="K81" s="14">
        <v>0</v>
      </c>
      <c r="L81" s="14">
        <f>F81*K81</f>
        <v>0</v>
      </c>
      <c r="N81" s="25" t="s">
        <v>6</v>
      </c>
      <c r="O81" s="14">
        <f>IF(N81="5",I81,0)</f>
        <v>250.88</v>
      </c>
      <c r="Z81" s="14">
        <f>IF(AD81=0,J81,0)</f>
        <v>0</v>
      </c>
      <c r="AA81" s="14">
        <f>IF(AD81=14,J81,0)</f>
        <v>250.88</v>
      </c>
      <c r="AB81" s="14">
        <f>IF(AD81=20,J81,0)</f>
        <v>0</v>
      </c>
      <c r="AD81" s="27">
        <v>14</v>
      </c>
      <c r="AE81" s="27">
        <f>G81*0</f>
        <v>0</v>
      </c>
      <c r="AF81" s="27">
        <f>G81*(1-0)</f>
        <v>448</v>
      </c>
    </row>
    <row r="82" spans="1:37" ht="12.75">
      <c r="A82" s="5"/>
      <c r="B82" s="5"/>
      <c r="C82" s="11" t="s">
        <v>77</v>
      </c>
      <c r="D82" s="161" t="s">
        <v>96</v>
      </c>
      <c r="E82" s="162"/>
      <c r="F82" s="162"/>
      <c r="G82" s="162"/>
      <c r="H82" s="29">
        <f>SUM(H83:H93)</f>
        <v>4173.51</v>
      </c>
      <c r="I82" s="29">
        <f>SUM(I83:I93)</f>
        <v>21066.26</v>
      </c>
      <c r="J82" s="29">
        <f>H82+I82</f>
        <v>25239.769999999997</v>
      </c>
      <c r="K82" s="22"/>
      <c r="L82" s="29">
        <f>SUM(L83:L93)</f>
        <v>0</v>
      </c>
      <c r="P82" s="29">
        <f>IF(Q82="PR",J82,SUM(O83:O93))</f>
        <v>35.77</v>
      </c>
      <c r="Q82" s="22" t="s">
        <v>119</v>
      </c>
      <c r="R82" s="29">
        <f>IF(Q82="HS",H82,0)</f>
        <v>0</v>
      </c>
      <c r="S82" s="29">
        <f>IF(Q82="HS",I82-P82,0)</f>
        <v>0</v>
      </c>
      <c r="T82" s="29">
        <f>IF(Q82="PS",H82,0)</f>
        <v>4173.51</v>
      </c>
      <c r="U82" s="29">
        <f>IF(Q82="PS",I82-P82,0)</f>
        <v>21030.489999999998</v>
      </c>
      <c r="V82" s="29">
        <f>IF(Q82="MP",H82,0)</f>
        <v>0</v>
      </c>
      <c r="W82" s="29">
        <f>IF(Q82="MP",I82-P82,0)</f>
        <v>0</v>
      </c>
      <c r="X82" s="29">
        <f>IF(Q82="OM",H82,0)</f>
        <v>0</v>
      </c>
      <c r="Y82" s="22"/>
      <c r="AI82" s="29">
        <f>SUM(Z83:Z93)</f>
        <v>0</v>
      </c>
      <c r="AJ82" s="29">
        <f>SUM(AA83:AA93)</f>
        <v>25239.77</v>
      </c>
      <c r="AK82" s="29">
        <f>SUM(AB83:AB93)</f>
        <v>0</v>
      </c>
    </row>
    <row r="83" spans="1:32" ht="12.75">
      <c r="A83" s="6" t="s">
        <v>42</v>
      </c>
      <c r="B83" s="6"/>
      <c r="C83" s="6" t="s">
        <v>78</v>
      </c>
      <c r="D83" s="49" t="s">
        <v>235</v>
      </c>
      <c r="E83" s="6" t="s">
        <v>105</v>
      </c>
      <c r="F83" s="15">
        <v>1</v>
      </c>
      <c r="G83" s="14">
        <v>2967</v>
      </c>
      <c r="H83" s="15">
        <v>0</v>
      </c>
      <c r="I83" s="15">
        <f>J83-H83</f>
        <v>2967</v>
      </c>
      <c r="J83" s="15">
        <f>ROUND(F83*G83,2)</f>
        <v>2967</v>
      </c>
      <c r="K83" s="14">
        <v>0</v>
      </c>
      <c r="L83" s="15">
        <f>F83*K83</f>
        <v>0</v>
      </c>
      <c r="N83" s="26" t="s">
        <v>116</v>
      </c>
      <c r="O83" s="15">
        <f>IF(N83="5",I83,0)</f>
        <v>0</v>
      </c>
      <c r="Z83" s="15">
        <f>IF(AD83=0,J83,0)</f>
        <v>0</v>
      </c>
      <c r="AA83" s="15">
        <f>IF(AD83=14,J83,0)</f>
        <v>2967</v>
      </c>
      <c r="AB83" s="15">
        <f>IF(AD83=20,J83,0)</f>
        <v>0</v>
      </c>
      <c r="AD83" s="27">
        <v>14</v>
      </c>
      <c r="AE83" s="27">
        <f>G83*1</f>
        <v>2967</v>
      </c>
      <c r="AF83" s="27">
        <f>G83*(1-1)</f>
        <v>0</v>
      </c>
    </row>
    <row r="84" spans="1:32" ht="25.5">
      <c r="A84" s="6"/>
      <c r="B84" s="6"/>
      <c r="C84" s="6"/>
      <c r="D84" s="49" t="s">
        <v>239</v>
      </c>
      <c r="E84" s="6"/>
      <c r="F84" s="15"/>
      <c r="G84" s="15"/>
      <c r="H84" s="15"/>
      <c r="I84" s="15"/>
      <c r="J84" s="15"/>
      <c r="K84" s="15"/>
      <c r="L84" s="15"/>
      <c r="N84" s="26"/>
      <c r="O84" s="15"/>
      <c r="Z84" s="15"/>
      <c r="AA84" s="15"/>
      <c r="AB84" s="15"/>
      <c r="AD84" s="27"/>
      <c r="AE84" s="27"/>
      <c r="AF84" s="27"/>
    </row>
    <row r="85" spans="1:32" ht="12.75">
      <c r="A85" s="6" t="s">
        <v>43</v>
      </c>
      <c r="B85" s="6"/>
      <c r="C85" s="6" t="s">
        <v>79</v>
      </c>
      <c r="D85" s="49" t="s">
        <v>97</v>
      </c>
      <c r="E85" s="6" t="s">
        <v>105</v>
      </c>
      <c r="F85" s="15">
        <v>1</v>
      </c>
      <c r="G85" s="14">
        <v>10299</v>
      </c>
      <c r="H85" s="15">
        <v>0</v>
      </c>
      <c r="I85" s="15">
        <f>J85-H85</f>
        <v>10299</v>
      </c>
      <c r="J85" s="15">
        <f>ROUND(F85*G85,2)</f>
        <v>10299</v>
      </c>
      <c r="K85" s="14">
        <v>0</v>
      </c>
      <c r="L85" s="15">
        <f>F85*K85</f>
        <v>0</v>
      </c>
      <c r="N85" s="26" t="s">
        <v>116</v>
      </c>
      <c r="O85" s="15">
        <f>IF(N85="5",I85,0)</f>
        <v>0</v>
      </c>
      <c r="Z85" s="15">
        <f>IF(AD85=0,J85,0)</f>
        <v>0</v>
      </c>
      <c r="AA85" s="15">
        <f>IF(AD85=14,J85,0)</f>
        <v>10299</v>
      </c>
      <c r="AB85" s="15">
        <f>IF(AD85=20,J85,0)</f>
        <v>0</v>
      </c>
      <c r="AD85" s="27">
        <v>14</v>
      </c>
      <c r="AE85" s="27">
        <f>G85*1</f>
        <v>10299</v>
      </c>
      <c r="AF85" s="27">
        <f>G85*(1-1)</f>
        <v>0</v>
      </c>
    </row>
    <row r="86" spans="1:32" ht="25.5">
      <c r="A86" s="6"/>
      <c r="B86" s="6"/>
      <c r="C86" s="6"/>
      <c r="D86" s="50" t="s">
        <v>164</v>
      </c>
      <c r="E86" s="6"/>
      <c r="F86" s="15"/>
      <c r="G86" s="15"/>
      <c r="H86" s="15"/>
      <c r="I86" s="15"/>
      <c r="J86" s="15"/>
      <c r="K86" s="15"/>
      <c r="L86" s="15"/>
      <c r="N86" s="26"/>
      <c r="O86" s="15"/>
      <c r="Z86" s="15"/>
      <c r="AA86" s="15"/>
      <c r="AB86" s="15"/>
      <c r="AD86" s="27"/>
      <c r="AE86" s="27"/>
      <c r="AF86" s="27"/>
    </row>
    <row r="87" spans="1:32" ht="12.75">
      <c r="A87" s="6" t="s">
        <v>44</v>
      </c>
      <c r="B87" s="6"/>
      <c r="C87" s="6" t="s">
        <v>80</v>
      </c>
      <c r="D87" s="49" t="s">
        <v>98</v>
      </c>
      <c r="E87" s="6" t="s">
        <v>105</v>
      </c>
      <c r="F87" s="15">
        <v>1</v>
      </c>
      <c r="G87" s="14">
        <v>4214</v>
      </c>
      <c r="H87" s="15">
        <v>0</v>
      </c>
      <c r="I87" s="15">
        <f>J87-H87</f>
        <v>4214</v>
      </c>
      <c r="J87" s="15">
        <f>ROUND(F87*G87,2)</f>
        <v>4214</v>
      </c>
      <c r="K87" s="14">
        <v>0</v>
      </c>
      <c r="L87" s="15">
        <f>F87*K87</f>
        <v>0</v>
      </c>
      <c r="N87" s="26" t="s">
        <v>116</v>
      </c>
      <c r="O87" s="15">
        <f>IF(N87="5",I87,0)</f>
        <v>0</v>
      </c>
      <c r="Z87" s="15">
        <f>IF(AD87=0,J87,0)</f>
        <v>0</v>
      </c>
      <c r="AA87" s="15">
        <f>IF(AD87=14,J87,0)</f>
        <v>4214</v>
      </c>
      <c r="AB87" s="15">
        <f>IF(AD87=20,J87,0)</f>
        <v>0</v>
      </c>
      <c r="AD87" s="27">
        <v>14</v>
      </c>
      <c r="AE87" s="27">
        <f>G87*1</f>
        <v>4214</v>
      </c>
      <c r="AF87" s="27">
        <f>G87*(1-1)</f>
        <v>0</v>
      </c>
    </row>
    <row r="88" spans="1:32" ht="25.5">
      <c r="A88" s="6"/>
      <c r="B88" s="6"/>
      <c r="C88" s="6"/>
      <c r="D88" s="50" t="s">
        <v>165</v>
      </c>
      <c r="E88" s="6"/>
      <c r="F88" s="15"/>
      <c r="G88" s="15"/>
      <c r="H88" s="15"/>
      <c r="I88" s="15"/>
      <c r="J88" s="15"/>
      <c r="K88" s="15"/>
      <c r="L88" s="15"/>
      <c r="N88" s="26"/>
      <c r="O88" s="15"/>
      <c r="Z88" s="15"/>
      <c r="AA88" s="15"/>
      <c r="AB88" s="15"/>
      <c r="AD88" s="27"/>
      <c r="AE88" s="27"/>
      <c r="AF88" s="27"/>
    </row>
    <row r="89" spans="1:32" ht="12.75">
      <c r="A89" s="6" t="s">
        <v>45</v>
      </c>
      <c r="B89" s="6"/>
      <c r="C89" s="6" t="s">
        <v>82</v>
      </c>
      <c r="D89" s="49" t="s">
        <v>100</v>
      </c>
      <c r="E89" s="6" t="s">
        <v>105</v>
      </c>
      <c r="F89" s="15">
        <v>1</v>
      </c>
      <c r="G89" s="14">
        <v>3250</v>
      </c>
      <c r="H89" s="15">
        <v>0</v>
      </c>
      <c r="I89" s="15">
        <f>J89-H89</f>
        <v>3250</v>
      </c>
      <c r="J89" s="15">
        <f>ROUND(F89*G89,2)</f>
        <v>3250</v>
      </c>
      <c r="K89" s="14">
        <v>0</v>
      </c>
      <c r="L89" s="15">
        <f>F89*K89</f>
        <v>0</v>
      </c>
      <c r="N89" s="26" t="s">
        <v>116</v>
      </c>
      <c r="O89" s="15">
        <f>IF(N89="5",I89,0)</f>
        <v>0</v>
      </c>
      <c r="Z89" s="15">
        <f>IF(AD89=0,J89,0)</f>
        <v>0</v>
      </c>
      <c r="AA89" s="15">
        <f>IF(AD89=14,J89,0)</f>
        <v>3250</v>
      </c>
      <c r="AB89" s="15">
        <f>IF(AD89=20,J89,0)</f>
        <v>0</v>
      </c>
      <c r="AD89" s="27">
        <v>14</v>
      </c>
      <c r="AE89" s="27">
        <f>G89*1</f>
        <v>3250</v>
      </c>
      <c r="AF89" s="27">
        <f>G89*(1-1)</f>
        <v>0</v>
      </c>
    </row>
    <row r="90" spans="1:32" ht="25.5">
      <c r="A90" s="4"/>
      <c r="B90" s="4"/>
      <c r="C90" s="4"/>
      <c r="D90" s="50" t="s">
        <v>168</v>
      </c>
      <c r="E90" s="4"/>
      <c r="F90" s="14"/>
      <c r="G90" s="14"/>
      <c r="H90" s="14"/>
      <c r="I90" s="14"/>
      <c r="J90" s="14"/>
      <c r="K90" s="14"/>
      <c r="L90" s="14"/>
      <c r="N90" s="25"/>
      <c r="O90" s="14"/>
      <c r="Z90" s="14"/>
      <c r="AA90" s="14"/>
      <c r="AB90" s="14"/>
      <c r="AD90" s="27"/>
      <c r="AE90" s="27"/>
      <c r="AF90" s="27"/>
    </row>
    <row r="91" spans="1:32" ht="12.75">
      <c r="A91" s="4" t="s">
        <v>46</v>
      </c>
      <c r="B91" s="4"/>
      <c r="C91" s="4" t="s">
        <v>254</v>
      </c>
      <c r="D91" s="4" t="s">
        <v>256</v>
      </c>
      <c r="E91" s="4" t="s">
        <v>105</v>
      </c>
      <c r="F91" s="14">
        <v>1</v>
      </c>
      <c r="G91" s="14">
        <v>4474</v>
      </c>
      <c r="H91" s="14">
        <f>ROUND(F91*AE91,2)</f>
        <v>4173.51</v>
      </c>
      <c r="I91" s="14">
        <f>J91-H91</f>
        <v>300.4899999999998</v>
      </c>
      <c r="J91" s="14">
        <f>ROUND(F91*G91,2)</f>
        <v>4474</v>
      </c>
      <c r="K91" s="14">
        <v>0</v>
      </c>
      <c r="L91" s="14">
        <f>F91*K91</f>
        <v>0</v>
      </c>
      <c r="N91" s="25" t="s">
        <v>2</v>
      </c>
      <c r="O91" s="14">
        <f>IF(N91="5",I91,0)</f>
        <v>0</v>
      </c>
      <c r="Z91" s="14">
        <f>IF(AD91=0,J91,0)</f>
        <v>0</v>
      </c>
      <c r="AA91" s="14">
        <f>IF(AD91=14,J91,0)</f>
        <v>4474</v>
      </c>
      <c r="AB91" s="14">
        <f>IF(AD91=20,J91,0)</f>
        <v>0</v>
      </c>
      <c r="AD91" s="27">
        <v>14</v>
      </c>
      <c r="AE91" s="27">
        <f>G91*0.932836134453782</f>
        <v>4173.5088655462205</v>
      </c>
      <c r="AF91" s="27">
        <f>G91*(1-0.932836134453782)</f>
        <v>300.49113445377935</v>
      </c>
    </row>
    <row r="92" spans="1:32" ht="12.75">
      <c r="A92" s="4" t="s">
        <v>47</v>
      </c>
      <c r="B92" s="4"/>
      <c r="C92" s="4" t="s">
        <v>81</v>
      </c>
      <c r="D92" s="48" t="s">
        <v>99</v>
      </c>
      <c r="E92" s="4" t="s">
        <v>104</v>
      </c>
      <c r="F92" s="14">
        <v>0.07</v>
      </c>
      <c r="G92" s="14">
        <v>511</v>
      </c>
      <c r="H92" s="14">
        <f>ROUND(F92*AE92,2)</f>
        <v>0</v>
      </c>
      <c r="I92" s="14">
        <f>J92-H92</f>
        <v>35.77</v>
      </c>
      <c r="J92" s="14">
        <f>ROUND(F92*G92,2)</f>
        <v>35.77</v>
      </c>
      <c r="K92" s="14">
        <v>0</v>
      </c>
      <c r="L92" s="14">
        <f>F92*K92</f>
        <v>0</v>
      </c>
      <c r="N92" s="25" t="s">
        <v>6</v>
      </c>
      <c r="O92" s="14">
        <f>IF(N92="5",I92,0)</f>
        <v>35.77</v>
      </c>
      <c r="Z92" s="14">
        <f>IF(AD92=0,J92,0)</f>
        <v>0</v>
      </c>
      <c r="AA92" s="14">
        <f>IF(AD92=14,J92,0)</f>
        <v>35.77</v>
      </c>
      <c r="AB92" s="14">
        <f>IF(AD92=20,J92,0)</f>
        <v>0</v>
      </c>
      <c r="AD92" s="27">
        <v>14</v>
      </c>
      <c r="AE92" s="27">
        <f>G92*0</f>
        <v>0</v>
      </c>
      <c r="AF92" s="27">
        <f>G92*(1-0)</f>
        <v>511</v>
      </c>
    </row>
    <row r="94" spans="1:28" ht="12.75">
      <c r="A94" s="7"/>
      <c r="B94" s="7"/>
      <c r="C94" s="7"/>
      <c r="D94" s="51"/>
      <c r="E94" s="7"/>
      <c r="F94" s="7"/>
      <c r="G94" s="7"/>
      <c r="H94" s="163" t="s">
        <v>112</v>
      </c>
      <c r="I94" s="164"/>
      <c r="J94" s="30">
        <f>J8+J31+J82</f>
        <v>178284.21</v>
      </c>
      <c r="K94" s="7"/>
      <c r="L94" s="7"/>
      <c r="Z94" s="31">
        <f>SUM(Z9:Z92)</f>
        <v>0</v>
      </c>
      <c r="AA94" s="31">
        <f>SUM(AA9:AA92)</f>
        <v>175554.21</v>
      </c>
      <c r="AB94" s="31">
        <f>SUM(AB9:AB92)</f>
        <v>2730</v>
      </c>
    </row>
  </sheetData>
  <sheetProtection/>
  <mergeCells count="9">
    <mergeCell ref="A1:L1"/>
    <mergeCell ref="D82:G82"/>
    <mergeCell ref="H94:I94"/>
    <mergeCell ref="H6:J6"/>
    <mergeCell ref="K6:L6"/>
    <mergeCell ref="D8:G8"/>
    <mergeCell ref="D31:G31"/>
    <mergeCell ref="A3:B3"/>
    <mergeCell ref="A4:B4"/>
  </mergeCells>
  <printOptions/>
  <pageMargins left="0.787401575" right="0.787401575" top="0.984251969" bottom="0.984251969" header="0.4921259845" footer="0.4921259845"/>
  <pageSetup fitToHeight="5" horizontalDpi="600" verticalDpi="600" orientation="portrait" paperSize="9" scale="54" r:id="rId1"/>
  <rowBreaks count="1" manualBreakCount="1">
    <brk id="8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Tomický</dc:creator>
  <cp:keywords/>
  <dc:description/>
  <cp:lastModifiedBy>Richterová Lenka</cp:lastModifiedBy>
  <cp:lastPrinted>2012-10-30T12:21:52Z</cp:lastPrinted>
  <dcterms:created xsi:type="dcterms:W3CDTF">2012-10-26T12:40:48Z</dcterms:created>
  <dcterms:modified xsi:type="dcterms:W3CDTF">2014-11-10T06:57:37Z</dcterms:modified>
  <cp:category/>
  <cp:version/>
  <cp:contentType/>
  <cp:contentStatus/>
</cp:coreProperties>
</file>