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N:\IO\OPI\AKCE OPI\.OP_KL_2025_Úprava evidence DTC- přestavba a vytvoření nové  místnosti\2. Výběrové řízení\Stavební práce\VZMR\Výzva přílohy\"/>
    </mc:Choice>
  </mc:AlternateContent>
  <xr:revisionPtr revIDLastSave="0" documentId="13_ncr:1_{4A366EC0-431C-4A30-ACAB-C597ACFADE79}" xr6:coauthVersionLast="47" xr6:coauthVersionMax="47" xr10:uidLastSave="{00000000-0000-0000-0000-000000000000}"/>
  <bookViews>
    <workbookView xWindow="-120" yWindow="-120" windowWidth="29040" windowHeight="15720" firstSheet="1" activeTab="5" xr2:uid="{00000000-000D-0000-FFFF-FFFF00000000}"/>
  </bookViews>
  <sheets>
    <sheet name="Pokyny pro vyplnění" sheetId="11" r:id="rId1"/>
    <sheet name="Stavba" sheetId="1" r:id="rId2"/>
    <sheet name="VzorPolozky" sheetId="10" state="hidden" r:id="rId3"/>
    <sheet name="01 VRN" sheetId="12" r:id="rId4"/>
    <sheet name="02 Stavební" sheetId="13" r:id="rId5"/>
    <sheet name="03 - Silnoproud" sheetId="15" r:id="rId6"/>
    <sheet name="04 - TPS - Elektronické k..." sheetId="16" r:id="rId7"/>
  </sheets>
  <externalReferences>
    <externalReference r:id="rId8"/>
    <externalReference r:id="rId9"/>
    <externalReference r:id="rId10"/>
  </externalReferences>
  <definedNames>
    <definedName name="_xlnm._FilterDatabase" localSheetId="5" hidden="1">'03 - Silnoproud'!$C$127:$K$178</definedName>
    <definedName name="_xlnm._FilterDatabase" localSheetId="6" hidden="1">'04 - TPS - Elektronické k...'!$C$122:$K$146</definedName>
    <definedName name="CelkemDPHVypocet" localSheetId="1">Stavba!$H$45</definedName>
    <definedName name="CenaCelkem" localSheetId="5">[1]Stavba!$G$29</definedName>
    <definedName name="CenaCelkem" localSheetId="6">[1]Stavba!$G$29</definedName>
    <definedName name="CenaCelkem">Stavba!$G$29</definedName>
    <definedName name="CenaCelkemBezDPH">Stavba!$G$28</definedName>
    <definedName name="CenaCelkemVypocet" localSheetId="1">Stavba!$I$45</definedName>
    <definedName name="cisloobjektu">Stavba!$D$3</definedName>
    <definedName name="CisloRozpoctu">'[2]Krycí list'!$C$2</definedName>
    <definedName name="CisloStavby" localSheetId="1">Stavba!$D$2</definedName>
    <definedName name="cislostavby">'[2]Krycí list'!$A$7</definedName>
    <definedName name="CisloStavebnihoRozpoctu">Stavba!$D$4</definedName>
    <definedName name="dadresa">Stavba!$D$12:$G$12</definedName>
    <definedName name="DIČ" localSheetId="1">Stavba!$I$12</definedName>
    <definedName name="dmisto">Stavba!$E$13:$G$13</definedName>
    <definedName name="DPHSni" localSheetId="5">[1]Stavba!$G$24</definedName>
    <definedName name="DPHSni" localSheetId="6">[1]Stavba!$G$24</definedName>
    <definedName name="DPHSni">Stavba!$G$24</definedName>
    <definedName name="DPHZakl" localSheetId="5">[1]Stavba!$G$26</definedName>
    <definedName name="DPHZakl" localSheetId="6">[1]Stavba!$G$26</definedName>
    <definedName name="DPHZakl">Stavba!$G$26</definedName>
    <definedName name="dpsc" localSheetId="1">Stavba!$D$13</definedName>
    <definedName name="IČO" localSheetId="1">Stavba!$I$11</definedName>
    <definedName name="Mena" localSheetId="5">[1]Stavba!$J$29</definedName>
    <definedName name="Mena" localSheetId="6">[1]Stavba!$J$29</definedName>
    <definedName name="Mena">Stavba!$J$29</definedName>
    <definedName name="MistoStavby">Stavba!$D$4</definedName>
    <definedName name="nazevobjektu">Stavba!$E$3</definedName>
    <definedName name="NazevRozpoctu">'[2]Krycí list'!$D$2</definedName>
    <definedName name="NazevStavby" localSheetId="1">Stavba!$E$2</definedName>
    <definedName name="nazevstavby">'[2]Krycí list'!$C$7</definedName>
    <definedName name="NazevStavebnihoRozpoctu">Stavba!$E$4</definedName>
    <definedName name="_xlnm.Print_Titles" localSheetId="3">'01 VRN'!$1:$7</definedName>
    <definedName name="_xlnm.Print_Titles" localSheetId="4">'02 Stavební'!$1:$7</definedName>
    <definedName name="_xlnm.Print_Titles" localSheetId="5">'03 - Silnoproud'!$127:$127</definedName>
    <definedName name="_xlnm.Print_Titles" localSheetId="6">'04 - TPS - Elektronické k...'!$122:$122</definedName>
    <definedName name="oadresa">Stavba!$D$6</definedName>
    <definedName name="Objednatel" localSheetId="1">Stavba!$D$5</definedName>
    <definedName name="Objekt" localSheetId="1">Stavba!$B$38</definedName>
    <definedName name="_xlnm.Print_Area" localSheetId="3">'01 VRN'!$A$1:$Y$27</definedName>
    <definedName name="_xlnm.Print_Area" localSheetId="4">'02 Stavební'!$A$1:$Y$113</definedName>
    <definedName name="_xlnm.Print_Area" localSheetId="5">'03 - Silnoproud'!$C$4:$J$76,'03 - Silnoproud'!$C$82:$J$109,'03 - Silnoproud'!$C$115:$J$178</definedName>
    <definedName name="_xlnm.Print_Area" localSheetId="6">'04 - TPS - Elektronické k...'!$C$4:$J$76,'04 - TPS - Elektronické k...'!$C$82:$J$104,'04 - TPS - Elektronické k...'!$C$110:$J$146</definedName>
    <definedName name="_xlnm.Print_Area" localSheetId="1">Stavba!$A$1:$J$72</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'[2]Krycí list'!$C$30</definedName>
    <definedName name="SazbaDPH2" localSheetId="1">Stavba!$E$25</definedName>
    <definedName name="SazbaDPH2">'[2]Krycí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 localSheetId="5">[1]Stavba!$G$23</definedName>
    <definedName name="ZakladDPHSni" localSheetId="6">[1]Stavba!$G$23</definedName>
    <definedName name="ZakladDPHSni">Stavba!$G$23</definedName>
    <definedName name="ZakladDPHSniVypocet" localSheetId="1">Stavba!$F$45</definedName>
    <definedName name="ZakladDPHZakl" localSheetId="5">[1]Stavba!$G$25</definedName>
    <definedName name="ZakladDPHZakl" localSheetId="6">[1]Stavba!$G$25</definedName>
    <definedName name="ZakladDPHZakl">Stavba!$G$25</definedName>
    <definedName name="ZakladDPHZaklVypocet" localSheetId="1">Stavba!$G$45</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0" i="16" l="1"/>
  <c r="Q88" i="13"/>
  <c r="O88" i="13"/>
  <c r="K88" i="13"/>
  <c r="I88" i="13"/>
  <c r="G88" i="13"/>
  <c r="M88" i="13" s="1"/>
  <c r="BK146" i="16"/>
  <c r="BI146" i="16"/>
  <c r="BH146" i="16"/>
  <c r="BG146" i="16"/>
  <c r="BF146" i="16"/>
  <c r="BE146" i="16"/>
  <c r="T146" i="16"/>
  <c r="T145" i="16" s="1"/>
  <c r="R146" i="16"/>
  <c r="R145" i="16" s="1"/>
  <c r="P146" i="16"/>
  <c r="J146" i="16"/>
  <c r="BK145" i="16"/>
  <c r="P145" i="16"/>
  <c r="J145" i="16"/>
  <c r="J102" i="16" s="1"/>
  <c r="BK144" i="16"/>
  <c r="BK143" i="16" s="1"/>
  <c r="BI144" i="16"/>
  <c r="BH144" i="16"/>
  <c r="BG144" i="16"/>
  <c r="BF144" i="16"/>
  <c r="T144" i="16"/>
  <c r="T143" i="16" s="1"/>
  <c r="R144" i="16"/>
  <c r="R143" i="16" s="1"/>
  <c r="P144" i="16"/>
  <c r="P143" i="16" s="1"/>
  <c r="P142" i="16" s="1"/>
  <c r="J144" i="16"/>
  <c r="BE144" i="16" s="1"/>
  <c r="BK141" i="16"/>
  <c r="BI141" i="16"/>
  <c r="BH141" i="16"/>
  <c r="BG141" i="16"/>
  <c r="BF141" i="16"/>
  <c r="T141" i="16"/>
  <c r="R141" i="16"/>
  <c r="P141" i="16"/>
  <c r="J141" i="16"/>
  <c r="BE141" i="16" s="1"/>
  <c r="BK139" i="16"/>
  <c r="BI139" i="16"/>
  <c r="BH139" i="16"/>
  <c r="BG139" i="16"/>
  <c r="BF139" i="16"/>
  <c r="T139" i="16"/>
  <c r="R139" i="16"/>
  <c r="P139" i="16"/>
  <c r="J139" i="16"/>
  <c r="BE139" i="16" s="1"/>
  <c r="BK138" i="16"/>
  <c r="BI138" i="16"/>
  <c r="BH138" i="16"/>
  <c r="BG138" i="16"/>
  <c r="BF138" i="16"/>
  <c r="T138" i="16"/>
  <c r="R138" i="16"/>
  <c r="P138" i="16"/>
  <c r="J138" i="16"/>
  <c r="BE138" i="16" s="1"/>
  <c r="BK137" i="16"/>
  <c r="BI137" i="16"/>
  <c r="BH137" i="16"/>
  <c r="BG137" i="16"/>
  <c r="BF137" i="16"/>
  <c r="BE137" i="16"/>
  <c r="T137" i="16"/>
  <c r="R137" i="16"/>
  <c r="P137" i="16"/>
  <c r="J137" i="16"/>
  <c r="BK136" i="16"/>
  <c r="BI136" i="16"/>
  <c r="BH136" i="16"/>
  <c r="BG136" i="16"/>
  <c r="BF136" i="16"/>
  <c r="T136" i="16"/>
  <c r="R136" i="16"/>
  <c r="P136" i="16"/>
  <c r="J136" i="16"/>
  <c r="BE136" i="16" s="1"/>
  <c r="BK135" i="16"/>
  <c r="BI135" i="16"/>
  <c r="BH135" i="16"/>
  <c r="BG135" i="16"/>
  <c r="BF135" i="16"/>
  <c r="T135" i="16"/>
  <c r="R135" i="16"/>
  <c r="P135" i="16"/>
  <c r="J135" i="16"/>
  <c r="BE135" i="16" s="1"/>
  <c r="BK134" i="16"/>
  <c r="BI134" i="16"/>
  <c r="BH134" i="16"/>
  <c r="BG134" i="16"/>
  <c r="BF134" i="16"/>
  <c r="T134" i="16"/>
  <c r="R134" i="16"/>
  <c r="P134" i="16"/>
  <c r="J134" i="16"/>
  <c r="BE134" i="16" s="1"/>
  <c r="BK133" i="16"/>
  <c r="BI133" i="16"/>
  <c r="BH133" i="16"/>
  <c r="BG133" i="16"/>
  <c r="BF133" i="16"/>
  <c r="T133" i="16"/>
  <c r="R133" i="16"/>
  <c r="P133" i="16"/>
  <c r="J133" i="16"/>
  <c r="BE133" i="16" s="1"/>
  <c r="BK132" i="16"/>
  <c r="BI132" i="16"/>
  <c r="BH132" i="16"/>
  <c r="BG132" i="16"/>
  <c r="BF132" i="16"/>
  <c r="T132" i="16"/>
  <c r="R132" i="16"/>
  <c r="P132" i="16"/>
  <c r="J132" i="16"/>
  <c r="BE132" i="16" s="1"/>
  <c r="BK131" i="16"/>
  <c r="BI131" i="16"/>
  <c r="BH131" i="16"/>
  <c r="BG131" i="16"/>
  <c r="BF131" i="16"/>
  <c r="T131" i="16"/>
  <c r="R131" i="16"/>
  <c r="P131" i="16"/>
  <c r="J131" i="16"/>
  <c r="BE131" i="16" s="1"/>
  <c r="BK129" i="16"/>
  <c r="BI129" i="16"/>
  <c r="BH129" i="16"/>
  <c r="BG129" i="16"/>
  <c r="BF129" i="16"/>
  <c r="T129" i="16"/>
  <c r="R129" i="16"/>
  <c r="P129" i="16"/>
  <c r="J129" i="16"/>
  <c r="BE129" i="16" s="1"/>
  <c r="BK128" i="16"/>
  <c r="BI128" i="16"/>
  <c r="BH128" i="16"/>
  <c r="BG128" i="16"/>
  <c r="BF128" i="16"/>
  <c r="T128" i="16"/>
  <c r="R128" i="16"/>
  <c r="P128" i="16"/>
  <c r="J128" i="16"/>
  <c r="BE128" i="16" s="1"/>
  <c r="BK127" i="16"/>
  <c r="BI127" i="16"/>
  <c r="BH127" i="16"/>
  <c r="BG127" i="16"/>
  <c r="BF127" i="16"/>
  <c r="T127" i="16"/>
  <c r="R127" i="16"/>
  <c r="P127" i="16"/>
  <c r="J127" i="16"/>
  <c r="BE127" i="16" s="1"/>
  <c r="BK126" i="16"/>
  <c r="BI126" i="16"/>
  <c r="BH126" i="16"/>
  <c r="BG126" i="16"/>
  <c r="BF126" i="16"/>
  <c r="T126" i="16"/>
  <c r="R126" i="16"/>
  <c r="P126" i="16"/>
  <c r="J126" i="16"/>
  <c r="J125" i="16" s="1"/>
  <c r="J120" i="16"/>
  <c r="J119" i="16"/>
  <c r="F117" i="16"/>
  <c r="E115" i="16"/>
  <c r="J92" i="16"/>
  <c r="J91" i="16"/>
  <c r="F89" i="16"/>
  <c r="E87" i="16"/>
  <c r="J37" i="16"/>
  <c r="J36" i="16"/>
  <c r="J35" i="16"/>
  <c r="J18" i="16"/>
  <c r="E18" i="16"/>
  <c r="F92" i="16" s="1"/>
  <c r="J17" i="16"/>
  <c r="J15" i="16"/>
  <c r="E15" i="16"/>
  <c r="F91" i="16" s="1"/>
  <c r="J14" i="16"/>
  <c r="J12" i="16"/>
  <c r="J89" i="16" s="1"/>
  <c r="E7" i="16"/>
  <c r="E85" i="16" s="1"/>
  <c r="BK178" i="15"/>
  <c r="BI178" i="15"/>
  <c r="BH178" i="15"/>
  <c r="BG178" i="15"/>
  <c r="BF178" i="15"/>
  <c r="T178" i="15"/>
  <c r="R178" i="15"/>
  <c r="P178" i="15"/>
  <c r="J178" i="15"/>
  <c r="BE178" i="15" s="1"/>
  <c r="BK177" i="15"/>
  <c r="J177" i="15" s="1"/>
  <c r="J107" i="15" s="1"/>
  <c r="T177" i="15"/>
  <c r="R177" i="15"/>
  <c r="P177" i="15"/>
  <c r="BK176" i="15"/>
  <c r="BI176" i="15"/>
  <c r="BH176" i="15"/>
  <c r="BG176" i="15"/>
  <c r="BF176" i="15"/>
  <c r="BE176" i="15"/>
  <c r="T176" i="15"/>
  <c r="T175" i="15" s="1"/>
  <c r="T174" i="15" s="1"/>
  <c r="R176" i="15"/>
  <c r="P176" i="15"/>
  <c r="J176" i="15"/>
  <c r="BK175" i="15"/>
  <c r="R175" i="15"/>
  <c r="R174" i="15" s="1"/>
  <c r="P175" i="15"/>
  <c r="P174" i="15" s="1"/>
  <c r="J175" i="15"/>
  <c r="J174" i="15" s="1"/>
  <c r="J105" i="15" s="1"/>
  <c r="BK173" i="15"/>
  <c r="BK172" i="15" s="1"/>
  <c r="J172" i="15" s="1"/>
  <c r="J104" i="15" s="1"/>
  <c r="BI173" i="15"/>
  <c r="BH173" i="15"/>
  <c r="BG173" i="15"/>
  <c r="BF173" i="15"/>
  <c r="T173" i="15"/>
  <c r="R173" i="15"/>
  <c r="R172" i="15" s="1"/>
  <c r="P173" i="15"/>
  <c r="P172" i="15" s="1"/>
  <c r="J173" i="15"/>
  <c r="BE173" i="15" s="1"/>
  <c r="T172" i="15"/>
  <c r="BK171" i="15"/>
  <c r="BI171" i="15"/>
  <c r="BH171" i="15"/>
  <c r="BG171" i="15"/>
  <c r="BF171" i="15"/>
  <c r="T171" i="15"/>
  <c r="R171" i="15"/>
  <c r="P171" i="15"/>
  <c r="J171" i="15"/>
  <c r="BE171" i="15" s="1"/>
  <c r="BK170" i="15"/>
  <c r="BI170" i="15"/>
  <c r="BH170" i="15"/>
  <c r="BG170" i="15"/>
  <c r="BF170" i="15"/>
  <c r="T170" i="15"/>
  <c r="R170" i="15"/>
  <c r="P170" i="15"/>
  <c r="J170" i="15"/>
  <c r="BE170" i="15" s="1"/>
  <c r="BK169" i="15"/>
  <c r="BI169" i="15"/>
  <c r="BH169" i="15"/>
  <c r="BG169" i="15"/>
  <c r="BF169" i="15"/>
  <c r="T169" i="15"/>
  <c r="R169" i="15"/>
  <c r="P169" i="15"/>
  <c r="J169" i="15"/>
  <c r="BE169" i="15" s="1"/>
  <c r="BK168" i="15"/>
  <c r="BI168" i="15"/>
  <c r="BH168" i="15"/>
  <c r="BG168" i="15"/>
  <c r="BF168" i="15"/>
  <c r="T168" i="15"/>
  <c r="R168" i="15"/>
  <c r="P168" i="15"/>
  <c r="J168" i="15"/>
  <c r="BE168" i="15" s="1"/>
  <c r="BK167" i="15"/>
  <c r="BI167" i="15"/>
  <c r="BH167" i="15"/>
  <c r="BG167" i="15"/>
  <c r="BF167" i="15"/>
  <c r="T167" i="15"/>
  <c r="R167" i="15"/>
  <c r="P167" i="15"/>
  <c r="J167" i="15"/>
  <c r="BE167" i="15" s="1"/>
  <c r="BK166" i="15"/>
  <c r="BI166" i="15"/>
  <c r="BH166" i="15"/>
  <c r="BG166" i="15"/>
  <c r="BF166" i="15"/>
  <c r="T166" i="15"/>
  <c r="R166" i="15"/>
  <c r="P166" i="15"/>
  <c r="J166" i="15"/>
  <c r="BE166" i="15" s="1"/>
  <c r="BK165" i="15"/>
  <c r="BI165" i="15"/>
  <c r="BH165" i="15"/>
  <c r="BG165" i="15"/>
  <c r="BF165" i="15"/>
  <c r="BE165" i="15"/>
  <c r="T165" i="15"/>
  <c r="T164" i="15" s="1"/>
  <c r="T163" i="15" s="1"/>
  <c r="R165" i="15"/>
  <c r="R164" i="15" s="1"/>
  <c r="R163" i="15" s="1"/>
  <c r="P165" i="15"/>
  <c r="P164" i="15" s="1"/>
  <c r="P163" i="15" s="1"/>
  <c r="J165" i="15"/>
  <c r="BK162" i="15"/>
  <c r="BI162" i="15"/>
  <c r="BH162" i="15"/>
  <c r="BG162" i="15"/>
  <c r="BF162" i="15"/>
  <c r="T162" i="15"/>
  <c r="R162" i="15"/>
  <c r="P162" i="15"/>
  <c r="J162" i="15"/>
  <c r="BE162" i="15" s="1"/>
  <c r="BK161" i="15"/>
  <c r="BI161" i="15"/>
  <c r="BH161" i="15"/>
  <c r="BG161" i="15"/>
  <c r="BF161" i="15"/>
  <c r="T161" i="15"/>
  <c r="T160" i="15" s="1"/>
  <c r="R161" i="15"/>
  <c r="R160" i="15" s="1"/>
  <c r="P161" i="15"/>
  <c r="P160" i="15" s="1"/>
  <c r="J161" i="15"/>
  <c r="BE161" i="15" s="1"/>
  <c r="BK160" i="15"/>
  <c r="J160" i="15" s="1"/>
  <c r="J101" i="15" s="1"/>
  <c r="BK159" i="15"/>
  <c r="BI159" i="15"/>
  <c r="BH159" i="15"/>
  <c r="BG159" i="15"/>
  <c r="BF159" i="15"/>
  <c r="T159" i="15"/>
  <c r="R159" i="15"/>
  <c r="P159" i="15"/>
  <c r="J159" i="15"/>
  <c r="BE159" i="15" s="1"/>
  <c r="BK158" i="15"/>
  <c r="BI158" i="15"/>
  <c r="BH158" i="15"/>
  <c r="BG158" i="15"/>
  <c r="BF158" i="15"/>
  <c r="T158" i="15"/>
  <c r="R158" i="15"/>
  <c r="P158" i="15"/>
  <c r="J158" i="15"/>
  <c r="BE158" i="15" s="1"/>
  <c r="BK157" i="15"/>
  <c r="BI157" i="15"/>
  <c r="BH157" i="15"/>
  <c r="BG157" i="15"/>
  <c r="BF157" i="15"/>
  <c r="BE157" i="15"/>
  <c r="T157" i="15"/>
  <c r="R157" i="15"/>
  <c r="P157" i="15"/>
  <c r="J157" i="15"/>
  <c r="BK156" i="15"/>
  <c r="BI156" i="15"/>
  <c r="BH156" i="15"/>
  <c r="BG156" i="15"/>
  <c r="BF156" i="15"/>
  <c r="T156" i="15"/>
  <c r="R156" i="15"/>
  <c r="P156" i="15"/>
  <c r="J156" i="15"/>
  <c r="BE156" i="15" s="1"/>
  <c r="BK155" i="15"/>
  <c r="BI155" i="15"/>
  <c r="BH155" i="15"/>
  <c r="BG155" i="15"/>
  <c r="BF155" i="15"/>
  <c r="T155" i="15"/>
  <c r="R155" i="15"/>
  <c r="P155" i="15"/>
  <c r="J155" i="15"/>
  <c r="BE155" i="15" s="1"/>
  <c r="BK154" i="15"/>
  <c r="BI154" i="15"/>
  <c r="BH154" i="15"/>
  <c r="BG154" i="15"/>
  <c r="BF154" i="15"/>
  <c r="T154" i="15"/>
  <c r="R154" i="15"/>
  <c r="P154" i="15"/>
  <c r="J154" i="15"/>
  <c r="BE154" i="15" s="1"/>
  <c r="BK153" i="15"/>
  <c r="BI153" i="15"/>
  <c r="BH153" i="15"/>
  <c r="BG153" i="15"/>
  <c r="BF153" i="15"/>
  <c r="BE153" i="15"/>
  <c r="T153" i="15"/>
  <c r="R153" i="15"/>
  <c r="P153" i="15"/>
  <c r="J153" i="15"/>
  <c r="BK152" i="15"/>
  <c r="BI152" i="15"/>
  <c r="BH152" i="15"/>
  <c r="BG152" i="15"/>
  <c r="BF152" i="15"/>
  <c r="BE152" i="15"/>
  <c r="T152" i="15"/>
  <c r="R152" i="15"/>
  <c r="P152" i="15"/>
  <c r="J152" i="15"/>
  <c r="BK151" i="15"/>
  <c r="BI151" i="15"/>
  <c r="BH151" i="15"/>
  <c r="BG151" i="15"/>
  <c r="BF151" i="15"/>
  <c r="T151" i="15"/>
  <c r="R151" i="15"/>
  <c r="P151" i="15"/>
  <c r="J151" i="15"/>
  <c r="BE151" i="15" s="1"/>
  <c r="BK150" i="15"/>
  <c r="BI150" i="15"/>
  <c r="BH150" i="15"/>
  <c r="BG150" i="15"/>
  <c r="BF150" i="15"/>
  <c r="T150" i="15"/>
  <c r="R150" i="15"/>
  <c r="P150" i="15"/>
  <c r="J150" i="15"/>
  <c r="BE150" i="15" s="1"/>
  <c r="BK149" i="15"/>
  <c r="BI149" i="15"/>
  <c r="BH149" i="15"/>
  <c r="BG149" i="15"/>
  <c r="BF149" i="15"/>
  <c r="T149" i="15"/>
  <c r="R149" i="15"/>
  <c r="P149" i="15"/>
  <c r="J149" i="15"/>
  <c r="BE149" i="15" s="1"/>
  <c r="BK148" i="15"/>
  <c r="BI148" i="15"/>
  <c r="BH148" i="15"/>
  <c r="BG148" i="15"/>
  <c r="BF148" i="15"/>
  <c r="BE148" i="15"/>
  <c r="T148" i="15"/>
  <c r="R148" i="15"/>
  <c r="P148" i="15"/>
  <c r="J148" i="15"/>
  <c r="BK147" i="15"/>
  <c r="BI147" i="15"/>
  <c r="BH147" i="15"/>
  <c r="BG147" i="15"/>
  <c r="BF147" i="15"/>
  <c r="T147" i="15"/>
  <c r="R147" i="15"/>
  <c r="R146" i="15" s="1"/>
  <c r="P147" i="15"/>
  <c r="P146" i="15" s="1"/>
  <c r="J147" i="15"/>
  <c r="BE147" i="15" s="1"/>
  <c r="T146" i="15"/>
  <c r="BK145" i="15"/>
  <c r="BI145" i="15"/>
  <c r="BH145" i="15"/>
  <c r="BG145" i="15"/>
  <c r="BF145" i="15"/>
  <c r="T145" i="15"/>
  <c r="R145" i="15"/>
  <c r="P145" i="15"/>
  <c r="J145" i="15"/>
  <c r="BE145" i="15" s="1"/>
  <c r="BK144" i="15"/>
  <c r="BI144" i="15"/>
  <c r="BH144" i="15"/>
  <c r="BG144" i="15"/>
  <c r="BF144" i="15"/>
  <c r="T144" i="15"/>
  <c r="R144" i="15"/>
  <c r="P144" i="15"/>
  <c r="J144" i="15"/>
  <c r="BE144" i="15" s="1"/>
  <c r="BK143" i="15"/>
  <c r="BI143" i="15"/>
  <c r="BH143" i="15"/>
  <c r="BG143" i="15"/>
  <c r="BF143" i="15"/>
  <c r="BE143" i="15"/>
  <c r="T143" i="15"/>
  <c r="R143" i="15"/>
  <c r="P143" i="15"/>
  <c r="J143" i="15"/>
  <c r="BK142" i="15"/>
  <c r="BI142" i="15"/>
  <c r="BH142" i="15"/>
  <c r="BG142" i="15"/>
  <c r="BF142" i="15"/>
  <c r="BE142" i="15"/>
  <c r="T142" i="15"/>
  <c r="R142" i="15"/>
  <c r="P142" i="15"/>
  <c r="J142" i="15"/>
  <c r="BK141" i="15"/>
  <c r="BI141" i="15"/>
  <c r="BH141" i="15"/>
  <c r="BG141" i="15"/>
  <c r="BF141" i="15"/>
  <c r="T141" i="15"/>
  <c r="R141" i="15"/>
  <c r="P141" i="15"/>
  <c r="J141" i="15"/>
  <c r="BE141" i="15" s="1"/>
  <c r="BK140" i="15"/>
  <c r="BI140" i="15"/>
  <c r="BH140" i="15"/>
  <c r="BG140" i="15"/>
  <c r="BF140" i="15"/>
  <c r="T140" i="15"/>
  <c r="R140" i="15"/>
  <c r="P140" i="15"/>
  <c r="J140" i="15"/>
  <c r="BE140" i="15" s="1"/>
  <c r="BK139" i="15"/>
  <c r="BI139" i="15"/>
  <c r="BH139" i="15"/>
  <c r="BG139" i="15"/>
  <c r="BF139" i="15"/>
  <c r="T139" i="15"/>
  <c r="R139" i="15"/>
  <c r="P139" i="15"/>
  <c r="J139" i="15"/>
  <c r="BE139" i="15" s="1"/>
  <c r="BK138" i="15"/>
  <c r="BI138" i="15"/>
  <c r="BH138" i="15"/>
  <c r="BG138" i="15"/>
  <c r="BF138" i="15"/>
  <c r="T138" i="15"/>
  <c r="R138" i="15"/>
  <c r="P138" i="15"/>
  <c r="J138" i="15"/>
  <c r="BE138" i="15" s="1"/>
  <c r="BK137" i="15"/>
  <c r="BK135" i="15" s="1"/>
  <c r="J135" i="15" s="1"/>
  <c r="J99" i="15" s="1"/>
  <c r="BI137" i="15"/>
  <c r="BH137" i="15"/>
  <c r="BG137" i="15"/>
  <c r="BF137" i="15"/>
  <c r="T137" i="15"/>
  <c r="R137" i="15"/>
  <c r="P137" i="15"/>
  <c r="J137" i="15"/>
  <c r="BE137" i="15" s="1"/>
  <c r="BK136" i="15"/>
  <c r="BI136" i="15"/>
  <c r="BH136" i="15"/>
  <c r="BG136" i="15"/>
  <c r="BF136" i="15"/>
  <c r="T136" i="15"/>
  <c r="T135" i="15" s="1"/>
  <c r="R136" i="15"/>
  <c r="R135" i="15" s="1"/>
  <c r="P136" i="15"/>
  <c r="P135" i="15" s="1"/>
  <c r="J136" i="15"/>
  <c r="BE136" i="15" s="1"/>
  <c r="BK134" i="15"/>
  <c r="BI134" i="15"/>
  <c r="BH134" i="15"/>
  <c r="BG134" i="15"/>
  <c r="BF134" i="15"/>
  <c r="T134" i="15"/>
  <c r="R134" i="15"/>
  <c r="P134" i="15"/>
  <c r="J134" i="15"/>
  <c r="BE134" i="15" s="1"/>
  <c r="BK133" i="15"/>
  <c r="BI133" i="15"/>
  <c r="BH133" i="15"/>
  <c r="BG133" i="15"/>
  <c r="BF133" i="15"/>
  <c r="T133" i="15"/>
  <c r="R133" i="15"/>
  <c r="P133" i="15"/>
  <c r="J133" i="15"/>
  <c r="BE133" i="15" s="1"/>
  <c r="BK132" i="15"/>
  <c r="BI132" i="15"/>
  <c r="BH132" i="15"/>
  <c r="BG132" i="15"/>
  <c r="BF132" i="15"/>
  <c r="BE132" i="15"/>
  <c r="T132" i="15"/>
  <c r="R132" i="15"/>
  <c r="P132" i="15"/>
  <c r="J132" i="15"/>
  <c r="BK131" i="15"/>
  <c r="BI131" i="15"/>
  <c r="BH131" i="15"/>
  <c r="BG131" i="15"/>
  <c r="BF131" i="15"/>
  <c r="BE131" i="15"/>
  <c r="T131" i="15"/>
  <c r="R131" i="15"/>
  <c r="P131" i="15"/>
  <c r="J131" i="15"/>
  <c r="J125" i="15"/>
  <c r="J124" i="15"/>
  <c r="J122" i="15"/>
  <c r="F122" i="15"/>
  <c r="E120" i="15"/>
  <c r="J92" i="15"/>
  <c r="J91" i="15"/>
  <c r="F89" i="15"/>
  <c r="E87" i="15"/>
  <c r="E85" i="15"/>
  <c r="J37" i="15"/>
  <c r="J36" i="15"/>
  <c r="J35" i="15"/>
  <c r="J18" i="15"/>
  <c r="E18" i="15"/>
  <c r="F125" i="15" s="1"/>
  <c r="J17" i="15"/>
  <c r="J15" i="15"/>
  <c r="E15" i="15"/>
  <c r="F91" i="15" s="1"/>
  <c r="J14" i="15"/>
  <c r="J12" i="15"/>
  <c r="J89" i="15" s="1"/>
  <c r="E7" i="15"/>
  <c r="E118" i="15" s="1"/>
  <c r="G9" i="13"/>
  <c r="I9" i="13"/>
  <c r="K9" i="13"/>
  <c r="O9" i="13"/>
  <c r="Q9" i="13"/>
  <c r="V9" i="13"/>
  <c r="G11" i="13"/>
  <c r="M11" i="13" s="1"/>
  <c r="I11" i="13"/>
  <c r="K11" i="13"/>
  <c r="O11" i="13"/>
  <c r="Q11" i="13"/>
  <c r="V11" i="13"/>
  <c r="G16" i="13"/>
  <c r="M16" i="13" s="1"/>
  <c r="I16" i="13"/>
  <c r="K16" i="13"/>
  <c r="O16" i="13"/>
  <c r="Q16" i="13"/>
  <c r="V16" i="13"/>
  <c r="G20" i="13"/>
  <c r="M20" i="13" s="1"/>
  <c r="I20" i="13"/>
  <c r="K20" i="13"/>
  <c r="K19" i="13" s="1"/>
  <c r="O20" i="13"/>
  <c r="Q20" i="13"/>
  <c r="V20" i="13"/>
  <c r="G21" i="13"/>
  <c r="M21" i="13" s="1"/>
  <c r="I21" i="13"/>
  <c r="K21" i="13"/>
  <c r="O21" i="13"/>
  <c r="Q21" i="13"/>
  <c r="V21" i="13"/>
  <c r="G23" i="13"/>
  <c r="M23" i="13" s="1"/>
  <c r="I23" i="13"/>
  <c r="I22" i="13" s="1"/>
  <c r="K23" i="13"/>
  <c r="O23" i="13"/>
  <c r="Q23" i="13"/>
  <c r="V23" i="13"/>
  <c r="G24" i="13"/>
  <c r="I24" i="13"/>
  <c r="K24" i="13"/>
  <c r="O24" i="13"/>
  <c r="Q24" i="13"/>
  <c r="V24" i="13"/>
  <c r="G26" i="13"/>
  <c r="M26" i="13" s="1"/>
  <c r="M25" i="13" s="1"/>
  <c r="I26" i="13"/>
  <c r="I25" i="13" s="1"/>
  <c r="K26" i="13"/>
  <c r="K25" i="13" s="1"/>
  <c r="O26" i="13"/>
  <c r="O25" i="13" s="1"/>
  <c r="Q26" i="13"/>
  <c r="Q25" i="13" s="1"/>
  <c r="V26" i="13"/>
  <c r="V25" i="13" s="1"/>
  <c r="G29" i="13"/>
  <c r="G28" i="13" s="1"/>
  <c r="I60" i="1" s="1"/>
  <c r="I29" i="13"/>
  <c r="I28" i="13" s="1"/>
  <c r="K29" i="13"/>
  <c r="K28" i="13" s="1"/>
  <c r="O29" i="13"/>
  <c r="O28" i="13" s="1"/>
  <c r="Q29" i="13"/>
  <c r="Q28" i="13" s="1"/>
  <c r="V29" i="13"/>
  <c r="V28" i="13" s="1"/>
  <c r="G34" i="13"/>
  <c r="M34" i="13" s="1"/>
  <c r="I34" i="13"/>
  <c r="K34" i="13"/>
  <c r="O34" i="13"/>
  <c r="Q34" i="13"/>
  <c r="V34" i="13"/>
  <c r="G37" i="13"/>
  <c r="M37" i="13" s="1"/>
  <c r="I37" i="13"/>
  <c r="K37" i="13"/>
  <c r="O37" i="13"/>
  <c r="Q37" i="13"/>
  <c r="V37" i="13"/>
  <c r="G38" i="13"/>
  <c r="M38" i="13" s="1"/>
  <c r="I38" i="13"/>
  <c r="K38" i="13"/>
  <c r="O38" i="13"/>
  <c r="Q38" i="13"/>
  <c r="V38" i="13"/>
  <c r="G40" i="13"/>
  <c r="M40" i="13" s="1"/>
  <c r="I40" i="13"/>
  <c r="K40" i="13"/>
  <c r="O40" i="13"/>
  <c r="Q40" i="13"/>
  <c r="V40" i="13"/>
  <c r="G43" i="13"/>
  <c r="M43" i="13" s="1"/>
  <c r="I43" i="13"/>
  <c r="K43" i="13"/>
  <c r="O43" i="13"/>
  <c r="Q43" i="13"/>
  <c r="V43" i="13"/>
  <c r="G44" i="13"/>
  <c r="M44" i="13" s="1"/>
  <c r="I44" i="13"/>
  <c r="K44" i="13"/>
  <c r="O44" i="13"/>
  <c r="Q44" i="13"/>
  <c r="V44" i="13"/>
  <c r="G49" i="13"/>
  <c r="M49" i="13" s="1"/>
  <c r="M48" i="13" s="1"/>
  <c r="I49" i="13"/>
  <c r="I48" i="13" s="1"/>
  <c r="K49" i="13"/>
  <c r="K48" i="13" s="1"/>
  <c r="O49" i="13"/>
  <c r="O48" i="13" s="1"/>
  <c r="Q49" i="13"/>
  <c r="Q48" i="13" s="1"/>
  <c r="V49" i="13"/>
  <c r="V48" i="13" s="1"/>
  <c r="G57" i="13"/>
  <c r="M57" i="13" s="1"/>
  <c r="I57" i="13"/>
  <c r="K57" i="13"/>
  <c r="O57" i="13"/>
  <c r="Q57" i="13"/>
  <c r="V57" i="13"/>
  <c r="G58" i="13"/>
  <c r="I58" i="13"/>
  <c r="K58" i="13"/>
  <c r="O58" i="13"/>
  <c r="Q58" i="13"/>
  <c r="V58" i="13"/>
  <c r="G59" i="13"/>
  <c r="M59" i="13" s="1"/>
  <c r="I59" i="13"/>
  <c r="K59" i="13"/>
  <c r="O59" i="13"/>
  <c r="Q59" i="13"/>
  <c r="V59" i="13"/>
  <c r="G60" i="13"/>
  <c r="M60" i="13" s="1"/>
  <c r="I60" i="13"/>
  <c r="K60" i="13"/>
  <c r="O60" i="13"/>
  <c r="Q60" i="13"/>
  <c r="V60" i="13"/>
  <c r="G61" i="13"/>
  <c r="M61" i="13" s="1"/>
  <c r="I61" i="13"/>
  <c r="K61" i="13"/>
  <c r="O61" i="13"/>
  <c r="Q61" i="13"/>
  <c r="V61" i="13"/>
  <c r="G62" i="13"/>
  <c r="M62" i="13" s="1"/>
  <c r="I62" i="13"/>
  <c r="K62" i="13"/>
  <c r="O62" i="13"/>
  <c r="Q62" i="13"/>
  <c r="V62" i="13"/>
  <c r="G63" i="13"/>
  <c r="M63" i="13" s="1"/>
  <c r="I63" i="13"/>
  <c r="K63" i="13"/>
  <c r="O63" i="13"/>
  <c r="Q63" i="13"/>
  <c r="V63" i="13"/>
  <c r="G67" i="13"/>
  <c r="M67" i="13" s="1"/>
  <c r="I67" i="13"/>
  <c r="K67" i="13"/>
  <c r="O67" i="13"/>
  <c r="Q67" i="13"/>
  <c r="V67" i="13"/>
  <c r="G69" i="13"/>
  <c r="M69" i="13" s="1"/>
  <c r="I69" i="13"/>
  <c r="K69" i="13"/>
  <c r="O69" i="13"/>
  <c r="Q69" i="13"/>
  <c r="V69" i="13"/>
  <c r="G70" i="13"/>
  <c r="I70" i="13"/>
  <c r="K70" i="13"/>
  <c r="O70" i="13"/>
  <c r="Q70" i="13"/>
  <c r="V70" i="13"/>
  <c r="G71" i="13"/>
  <c r="M71" i="13" s="1"/>
  <c r="I71" i="13"/>
  <c r="K71" i="13"/>
  <c r="O71" i="13"/>
  <c r="Q71" i="13"/>
  <c r="V71" i="13"/>
  <c r="G73" i="13"/>
  <c r="M73" i="13" s="1"/>
  <c r="I73" i="13"/>
  <c r="K73" i="13"/>
  <c r="O73" i="13"/>
  <c r="Q73" i="13"/>
  <c r="V73" i="13"/>
  <c r="G75" i="13"/>
  <c r="I75" i="13"/>
  <c r="K75" i="13"/>
  <c r="O75" i="13"/>
  <c r="Q75" i="13"/>
  <c r="V75" i="13"/>
  <c r="G77" i="13"/>
  <c r="M77" i="13" s="1"/>
  <c r="I77" i="13"/>
  <c r="K77" i="13"/>
  <c r="O77" i="13"/>
  <c r="Q77" i="13"/>
  <c r="V77" i="13"/>
  <c r="G78" i="13"/>
  <c r="M78" i="13" s="1"/>
  <c r="I78" i="13"/>
  <c r="K78" i="13"/>
  <c r="O78" i="13"/>
  <c r="Q78" i="13"/>
  <c r="V78" i="13"/>
  <c r="G79" i="13"/>
  <c r="M79" i="13" s="1"/>
  <c r="I79" i="13"/>
  <c r="K79" i="13"/>
  <c r="O79" i="13"/>
  <c r="Q79" i="13"/>
  <c r="V79" i="13"/>
  <c r="G80" i="13"/>
  <c r="M80" i="13" s="1"/>
  <c r="I80" i="13"/>
  <c r="K80" i="13"/>
  <c r="O80" i="13"/>
  <c r="Q80" i="13"/>
  <c r="V80" i="13"/>
  <c r="G83" i="13"/>
  <c r="I83" i="13"/>
  <c r="I82" i="13" s="1"/>
  <c r="K83" i="13"/>
  <c r="K82" i="13" s="1"/>
  <c r="O83" i="13"/>
  <c r="O82" i="13" s="1"/>
  <c r="Q83" i="13"/>
  <c r="Q82" i="13" s="1"/>
  <c r="V83" i="13"/>
  <c r="V82" i="13" s="1"/>
  <c r="G91" i="13"/>
  <c r="M91" i="13" s="1"/>
  <c r="I91" i="13"/>
  <c r="K91" i="13"/>
  <c r="O91" i="13"/>
  <c r="Q91" i="13"/>
  <c r="V91" i="13"/>
  <c r="G94" i="13"/>
  <c r="M94" i="13" s="1"/>
  <c r="I94" i="13"/>
  <c r="K94" i="13"/>
  <c r="O94" i="13"/>
  <c r="Q94" i="13"/>
  <c r="V94" i="13"/>
  <c r="G95" i="13"/>
  <c r="M95" i="13" s="1"/>
  <c r="I95" i="13"/>
  <c r="K95" i="13"/>
  <c r="O95" i="13"/>
  <c r="Q95" i="13"/>
  <c r="V95" i="13"/>
  <c r="G96" i="13"/>
  <c r="M96" i="13" s="1"/>
  <c r="I96" i="13"/>
  <c r="K96" i="13"/>
  <c r="O96" i="13"/>
  <c r="Q96" i="13"/>
  <c r="V96" i="13"/>
  <c r="G97" i="13"/>
  <c r="M97" i="13" s="1"/>
  <c r="I97" i="13"/>
  <c r="K97" i="13"/>
  <c r="O97" i="13"/>
  <c r="Q97" i="13"/>
  <c r="V97" i="13"/>
  <c r="G100" i="13"/>
  <c r="M100" i="13" s="1"/>
  <c r="I100" i="13"/>
  <c r="K100" i="13"/>
  <c r="O100" i="13"/>
  <c r="Q100" i="13"/>
  <c r="V100" i="13"/>
  <c r="AE103" i="13"/>
  <c r="BA15" i="12"/>
  <c r="BA13" i="12"/>
  <c r="BA10" i="12"/>
  <c r="G8" i="12"/>
  <c r="I70" i="1" s="1"/>
  <c r="I19" i="1" s="1"/>
  <c r="G9" i="12"/>
  <c r="AF17" i="12" s="1"/>
  <c r="G41" i="1" s="1"/>
  <c r="I9" i="12"/>
  <c r="I8" i="12" s="1"/>
  <c r="K9" i="12"/>
  <c r="K8" i="12" s="1"/>
  <c r="M9" i="12"/>
  <c r="M8" i="12" s="1"/>
  <c r="O9" i="12"/>
  <c r="O8" i="12" s="1"/>
  <c r="Q9" i="12"/>
  <c r="Q8" i="12" s="1"/>
  <c r="V9" i="12"/>
  <c r="V8" i="12" s="1"/>
  <c r="O11" i="12"/>
  <c r="Q11" i="12"/>
  <c r="G12" i="12"/>
  <c r="M12" i="12" s="1"/>
  <c r="I12" i="12"/>
  <c r="I11" i="12" s="1"/>
  <c r="K12" i="12"/>
  <c r="K11" i="12" s="1"/>
  <c r="O12" i="12"/>
  <c r="Q12" i="12"/>
  <c r="V12" i="12"/>
  <c r="V11" i="12" s="1"/>
  <c r="G14" i="12"/>
  <c r="M14" i="12" s="1"/>
  <c r="I14" i="12"/>
  <c r="K14" i="12"/>
  <c r="O14" i="12"/>
  <c r="Q14" i="12"/>
  <c r="V14" i="12"/>
  <c r="AE17" i="12"/>
  <c r="J28" i="1"/>
  <c r="J26" i="1"/>
  <c r="G38" i="1"/>
  <c r="F38" i="1"/>
  <c r="J23" i="1"/>
  <c r="J24" i="1"/>
  <c r="J25" i="1"/>
  <c r="J27" i="1"/>
  <c r="E24" i="1"/>
  <c r="E26" i="1"/>
  <c r="J117" i="16" l="1"/>
  <c r="BE126" i="16"/>
  <c r="J130" i="16"/>
  <c r="J124" i="16" s="1"/>
  <c r="BK174" i="15"/>
  <c r="BK164" i="15"/>
  <c r="BK146" i="15"/>
  <c r="J146" i="15" s="1"/>
  <c r="J100" i="15" s="1"/>
  <c r="F34" i="15"/>
  <c r="F35" i="15"/>
  <c r="J34" i="15"/>
  <c r="F36" i="15"/>
  <c r="G82" i="13"/>
  <c r="I66" i="1"/>
  <c r="F119" i="16"/>
  <c r="F35" i="16"/>
  <c r="F37" i="16"/>
  <c r="T130" i="16"/>
  <c r="T125" i="16" s="1"/>
  <c r="T124" i="16" s="1"/>
  <c r="BK130" i="16"/>
  <c r="J99" i="16" s="1"/>
  <c r="P130" i="16"/>
  <c r="P125" i="16" s="1"/>
  <c r="P124" i="16" s="1"/>
  <c r="P123" i="16" s="1"/>
  <c r="J34" i="16"/>
  <c r="F36" i="16"/>
  <c r="R130" i="16"/>
  <c r="R125" i="16" s="1"/>
  <c r="R124" i="16" s="1"/>
  <c r="F37" i="15"/>
  <c r="V22" i="13"/>
  <c r="V68" i="13"/>
  <c r="O19" i="13"/>
  <c r="I19" i="13"/>
  <c r="I68" i="13"/>
  <c r="G48" i="13"/>
  <c r="I62" i="1" s="1"/>
  <c r="G8" i="13"/>
  <c r="I56" i="1" s="1"/>
  <c r="G90" i="13"/>
  <c r="I67" i="1" s="1"/>
  <c r="M19" i="13"/>
  <c r="G19" i="13"/>
  <c r="I57" i="1" s="1"/>
  <c r="K68" i="13"/>
  <c r="Q72" i="13"/>
  <c r="Q33" i="13"/>
  <c r="Q22" i="13"/>
  <c r="V90" i="13"/>
  <c r="O33" i="13"/>
  <c r="O22" i="13"/>
  <c r="K22" i="13"/>
  <c r="I90" i="13"/>
  <c r="V72" i="13"/>
  <c r="O72" i="13"/>
  <c r="V8" i="13"/>
  <c r="Q56" i="13"/>
  <c r="V19" i="13"/>
  <c r="Q8" i="13"/>
  <c r="J33" i="16"/>
  <c r="J143" i="16"/>
  <c r="BK142" i="16"/>
  <c r="R142" i="16"/>
  <c r="T142" i="16"/>
  <c r="F33" i="16"/>
  <c r="F120" i="16"/>
  <c r="F34" i="16"/>
  <c r="E113" i="16"/>
  <c r="P130" i="15"/>
  <c r="P129" i="15" s="1"/>
  <c r="P128" i="15" s="1"/>
  <c r="R130" i="15"/>
  <c r="R129" i="15" s="1"/>
  <c r="R128" i="15" s="1"/>
  <c r="BK163" i="15"/>
  <c r="J163" i="15" s="1"/>
  <c r="J102" i="15" s="1"/>
  <c r="J164" i="15"/>
  <c r="J103" i="15" s="1"/>
  <c r="J33" i="15"/>
  <c r="T130" i="15"/>
  <c r="T129" i="15" s="1"/>
  <c r="T128" i="15" s="1"/>
  <c r="J106" i="15"/>
  <c r="F33" i="15"/>
  <c r="F92" i="15"/>
  <c r="BK130" i="15"/>
  <c r="F124" i="15"/>
  <c r="I33" i="13"/>
  <c r="I56" i="13"/>
  <c r="K56" i="13"/>
  <c r="G72" i="13"/>
  <c r="I65" i="1" s="1"/>
  <c r="I8" i="13"/>
  <c r="Q90" i="13"/>
  <c r="O90" i="13"/>
  <c r="I72" i="13"/>
  <c r="O56" i="13"/>
  <c r="K33" i="13"/>
  <c r="M29" i="13"/>
  <c r="M28" i="13" s="1"/>
  <c r="G22" i="13"/>
  <c r="I58" i="1" s="1"/>
  <c r="K8" i="13"/>
  <c r="K72" i="13"/>
  <c r="O68" i="13"/>
  <c r="G68" i="13"/>
  <c r="I64" i="1" s="1"/>
  <c r="V33" i="13"/>
  <c r="Q19" i="13"/>
  <c r="K90" i="13"/>
  <c r="Q68" i="13"/>
  <c r="M70" i="13"/>
  <c r="G25" i="13"/>
  <c r="I59" i="1" s="1"/>
  <c r="V56" i="13"/>
  <c r="G56" i="13"/>
  <c r="I63" i="1" s="1"/>
  <c r="O8" i="13"/>
  <c r="H41" i="1"/>
  <c r="F39" i="1"/>
  <c r="M33" i="13"/>
  <c r="M90" i="13"/>
  <c r="M68" i="13"/>
  <c r="M58" i="13"/>
  <c r="M56" i="13" s="1"/>
  <c r="G33" i="13"/>
  <c r="I61" i="1" s="1"/>
  <c r="M24" i="13"/>
  <c r="M22" i="13" s="1"/>
  <c r="M9" i="13"/>
  <c r="M8" i="13" s="1"/>
  <c r="M83" i="13"/>
  <c r="M82" i="13" s="1"/>
  <c r="M75" i="13"/>
  <c r="M72" i="13" s="1"/>
  <c r="AF103" i="13"/>
  <c r="G42" i="1" s="1"/>
  <c r="M11" i="12"/>
  <c r="G11" i="12"/>
  <c r="I71" i="1" s="1"/>
  <c r="I20" i="1" s="1"/>
  <c r="BK125" i="16" l="1"/>
  <c r="BK124" i="16" s="1"/>
  <c r="T123" i="16"/>
  <c r="R123" i="16"/>
  <c r="G103" i="13"/>
  <c r="I17" i="1"/>
  <c r="H42" i="1"/>
  <c r="I42" i="1" s="1"/>
  <c r="I41" i="1"/>
  <c r="J142" i="16"/>
  <c r="J100" i="16" s="1"/>
  <c r="J101" i="16"/>
  <c r="J130" i="15"/>
  <c r="J98" i="15" s="1"/>
  <c r="BK129" i="15"/>
  <c r="I16" i="1"/>
  <c r="G39" i="1"/>
  <c r="G17" i="12"/>
  <c r="BK123" i="16" l="1"/>
  <c r="J98" i="16"/>
  <c r="J97" i="16"/>
  <c r="J123" i="16"/>
  <c r="G44" i="1" s="1"/>
  <c r="H44" i="1" s="1"/>
  <c r="I44" i="1" s="1"/>
  <c r="J129" i="15"/>
  <c r="BK128" i="15"/>
  <c r="H39" i="1"/>
  <c r="I39" i="1" s="1"/>
  <c r="G23" i="1"/>
  <c r="A23" i="1" s="1"/>
  <c r="G24" i="1" s="1"/>
  <c r="J96" i="16" l="1"/>
  <c r="I69" i="1" s="1"/>
  <c r="J30" i="16"/>
  <c r="J39" i="16" s="1"/>
  <c r="J128" i="15"/>
  <c r="J97" i="15"/>
  <c r="A24" i="1"/>
  <c r="J30" i="15" l="1"/>
  <c r="J39" i="15" s="1"/>
  <c r="J96" i="15"/>
  <c r="I68" i="1" l="1"/>
  <c r="G43" i="1"/>
  <c r="I18" i="1" l="1"/>
  <c r="I21" i="1" s="1"/>
  <c r="I72" i="1"/>
  <c r="H43" i="1"/>
  <c r="G45" i="1"/>
  <c r="G40" i="1" l="1"/>
  <c r="H40" i="1" s="1"/>
  <c r="I40" i="1" s="1"/>
  <c r="G25" i="1"/>
  <c r="G28" i="1"/>
  <c r="I43" i="1"/>
  <c r="I45" i="1" s="1"/>
  <c r="H45" i="1"/>
  <c r="J60" i="1"/>
  <c r="J69" i="1"/>
  <c r="J68" i="1"/>
  <c r="J57" i="1"/>
  <c r="J63" i="1"/>
  <c r="J59" i="1"/>
  <c r="J56" i="1"/>
  <c r="J71" i="1"/>
  <c r="J64" i="1"/>
  <c r="J66" i="1"/>
  <c r="J67" i="1"/>
  <c r="J61" i="1"/>
  <c r="J62" i="1"/>
  <c r="J70" i="1"/>
  <c r="J65" i="1"/>
  <c r="J58" i="1"/>
  <c r="J72" i="1" l="1"/>
  <c r="J43" i="1"/>
  <c r="J44" i="1"/>
  <c r="J39" i="1"/>
  <c r="J42" i="1"/>
  <c r="J40" i="1"/>
  <c r="J41" i="1"/>
  <c r="A25" i="1"/>
  <c r="J45" i="1" l="1"/>
  <c r="G26" i="1"/>
  <c r="A27" i="1" s="1"/>
  <c r="A26"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 aUDA</author>
  </authors>
  <commentList>
    <comment ref="S6" authorId="0" shapeId="0" xr:uid="{293E9163-49D8-4278-BCDF-04C5B5D6B8B0}">
      <text>
        <r>
          <rPr>
            <sz val="9"/>
            <color indexed="81"/>
            <rFont val="Tahoma"/>
            <family val="2"/>
            <charset val="238"/>
          </rPr>
          <t>Jedná se o informaci, zda se jedná o položku, která je do rozpočtu zadána z cenové soustavy RTS, nebo vlastní.</t>
        </r>
      </text>
    </comment>
    <comment ref="T6" authorId="0" shapeId="0" xr:uid="{1F6424D4-6A4B-4B05-87FD-DB32D1F5C91D}">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 aUDA</author>
  </authors>
  <commentList>
    <comment ref="S6" authorId="0" shapeId="0" xr:uid="{A0F0DF71-5CF3-48F0-91BD-40383FE73126}">
      <text>
        <r>
          <rPr>
            <sz val="9"/>
            <color indexed="81"/>
            <rFont val="Tahoma"/>
            <family val="2"/>
            <charset val="238"/>
          </rPr>
          <t>Jedná se o informaci, zda se jedná o položku, která je do rozpočtu zadána z cenové soustavy RTS, nebo vlastní.</t>
        </r>
      </text>
    </comment>
    <comment ref="T6" authorId="0" shapeId="0" xr:uid="{16602D05-89EC-4A13-8780-0A71C8A3F93B}">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<sst xmlns="http://schemas.openxmlformats.org/spreadsheetml/2006/main" count="1831" uniqueCount="584">
  <si>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</si>
  <si>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</si>
  <si>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</si>
  <si>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</si>
  <si>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</si>
  <si>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</si>
  <si>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</si>
  <si>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</si>
  <si>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</si>
  <si>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</si>
  <si>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</si>
  <si>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</si>
  <si>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</si>
  <si>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</si>
  <si>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</si>
  <si>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</si>
  <si>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</si>
  <si>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</si>
  <si>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</si>
  <si>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</si>
  <si>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</si>
  <si>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</si>
  <si>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</si>
  <si>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</si>
  <si>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</si>
  <si>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</si>
  <si>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</si>
  <si>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</si>
  <si>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</si>
  <si>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</si>
  <si>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</si>
  <si>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</si>
  <si>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</si>
  <si>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</si>
  <si>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</si>
  <si>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</si>
  <si>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</si>
  <si>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</si>
  <si>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</si>
  <si>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</si>
  <si>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</si>
  <si>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</si>
  <si>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</si>
  <si>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36</t>
  </si>
  <si>
    <t xml:space="preserve">Fn Brno </t>
  </si>
  <si>
    <t>Stavba</t>
  </si>
  <si>
    <t>01</t>
  </si>
  <si>
    <t>objekt x 2 NP</t>
  </si>
  <si>
    <t>001</t>
  </si>
  <si>
    <t>VRN</t>
  </si>
  <si>
    <t>evidence DTC</t>
  </si>
  <si>
    <t>Celkem za stavbu</t>
  </si>
  <si>
    <t>CZK</t>
  </si>
  <si>
    <t>#POPS</t>
  </si>
  <si>
    <t xml:space="preserve">Popis stavby: 36 - Fn Brno </t>
  </si>
  <si>
    <t>#POPO</t>
  </si>
  <si>
    <t>Popis objektu: 01 - objekt x 2 NP</t>
  </si>
  <si>
    <t>#POPR</t>
  </si>
  <si>
    <t>Popis rozpočtu: 001 - VRN</t>
  </si>
  <si>
    <t>Popis rozpočtu: 01 - evidence DTC</t>
  </si>
  <si>
    <t>Rekapitulace dílů</t>
  </si>
  <si>
    <t>Typ dílu</t>
  </si>
  <si>
    <t>342</t>
  </si>
  <si>
    <t>Stěny a příčky montované lehké</t>
  </si>
  <si>
    <t>63</t>
  </si>
  <si>
    <t>Podlahy a podlahové konstrukce</t>
  </si>
  <si>
    <t>64</t>
  </si>
  <si>
    <t>Výplně otvorů</t>
  </si>
  <si>
    <t>94</t>
  </si>
  <si>
    <t>Lešení a stavební výtahy</t>
  </si>
  <si>
    <t>95</t>
  </si>
  <si>
    <t>Dokončovací konstrukce na pozemních stavbách</t>
  </si>
  <si>
    <t>96</t>
  </si>
  <si>
    <t>Bourání konstrukcí</t>
  </si>
  <si>
    <t>99</t>
  </si>
  <si>
    <t>Staveništní přesun hmot</t>
  </si>
  <si>
    <t>766</t>
  </si>
  <si>
    <t>Konstrukce truhlářské, okna a dveře</t>
  </si>
  <si>
    <t>767</t>
  </si>
  <si>
    <t>Konstrukce zámečnické</t>
  </si>
  <si>
    <t>771</t>
  </si>
  <si>
    <t>Podlahy z dlaždic a obklady</t>
  </si>
  <si>
    <t>784</t>
  </si>
  <si>
    <t>Malby</t>
  </si>
  <si>
    <t>D96</t>
  </si>
  <si>
    <t>Přesuny suti a vybouraných hmot</t>
  </si>
  <si>
    <t>PSU</t>
  </si>
  <si>
    <t>VN</t>
  </si>
  <si>
    <t>ON</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</si>
  <si>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</si>
  <si>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</si>
  <si>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</si>
  <si>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</si>
  <si>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</si>
  <si>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</si>
  <si>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</si>
  <si>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</si>
  <si>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</si>
  <si>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</si>
  <si>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</si>
  <si>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</si>
  <si>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</si>
  <si>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</si>
  <si>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</si>
  <si>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</si>
  <si>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</si>
  <si>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</si>
  <si>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</si>
  <si>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</si>
  <si>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</si>
  <si>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</si>
  <si>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</si>
  <si>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</si>
  <si>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</si>
  <si>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</si>
  <si>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</si>
  <si>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</si>
  <si>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Soubor</t>
  </si>
  <si>
    <t>RTS 25/ II</t>
  </si>
  <si>
    <t>Indiv</t>
  </si>
  <si>
    <t>Běžná</t>
  </si>
  <si>
    <t>POL99_8</t>
  </si>
  <si>
    <t>POP</t>
  </si>
  <si>
    <t>005122010R</t>
  </si>
  <si>
    <t xml:space="preserve">Provoz objednatele </t>
  </si>
  <si>
    <t>Náklady na ztížené provádění stavebních prací v důsledku nepřerušeného provozu na staveništi nebo v případech nepřerušeného provozu v objektech v nichž se stavební práce provádí.</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</si>
  <si>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</si>
  <si>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</si>
  <si>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</si>
  <si>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005241010R</t>
  </si>
  <si>
    <t xml:space="preserve">Dokumentace skutečného provedení </t>
  </si>
  <si>
    <t>Náklady na vyhotovení dokumentace skutečného provedení stavby a její předání objednateli v požadované formě a požadovaném počtu.</t>
  </si>
  <si>
    <t>SUM</t>
  </si>
  <si>
    <t>Poznámky uchazeče k zadání</t>
  </si>
  <si>
    <t>POPUZIV</t>
  </si>
  <si>
    <t>END</t>
  </si>
  <si>
    <t>342261111RT3</t>
  </si>
  <si>
    <t>Příčka sádrokartonová tl. 75 mm, 1x ocel.konstrukce CW 50, izolace, 1x opláštěná, desky tl. 12,5 mm včetně dodávky desky Knauf GREEN GKBI tl. 12,5 mm, minerální izolace 50 mm, EI 30 DP1</t>
  </si>
  <si>
    <t>m2</t>
  </si>
  <si>
    <t>Práce</t>
  </si>
  <si>
    <t>POL1_</t>
  </si>
  <si>
    <t>výkres IV etapa : 0,7*2,4</t>
  </si>
  <si>
    <t>VV</t>
  </si>
  <si>
    <t>342261213RT3</t>
  </si>
  <si>
    <t>Příčka sádrokartonová tl. 150 mm, 1x ocel.konstrukce CW 100, izolace, 2x opláštěná, desky tl. 12,5mm včetně dodávky desky Knauf GREEN GKBI tl. 12,5 mm, minerální izolace tl. 50 mm, EI 60 DP1</t>
  </si>
  <si>
    <t>výkres II.etapa, P1 : 2,315*2,4</t>
  </si>
  <si>
    <t>dveře : -0,9*2,1</t>
  </si>
  <si>
    <t>výkres IV. etapa, P2 : 5,435*2,4</t>
  </si>
  <si>
    <t>otvory O1 : -1,39*0,885*2</t>
  </si>
  <si>
    <t>342090432R00</t>
  </si>
  <si>
    <t>Úprava SDK/SDVK příčky pro zřízení jednokřídlých dveří do 100 kg, profily UA 100, 2x opláštěné</t>
  </si>
  <si>
    <t>kus</t>
  </si>
  <si>
    <t>pro osaz dveří : 2</t>
  </si>
  <si>
    <t>pro osaz oken : 4</t>
  </si>
  <si>
    <t>632418104RT1</t>
  </si>
  <si>
    <t>Potěr ze SMS Baumit, ruční zpracování, tl. 4 mm Nivello Quattro samonivelační, vč. penetrace Grund</t>
  </si>
  <si>
    <t>632441491R00</t>
  </si>
  <si>
    <t>Broušení anhydritových potěrů - odstranění šlemu</t>
  </si>
  <si>
    <t>642942111R00</t>
  </si>
  <si>
    <t>Osazení zárubní dveřních ocelových, pl. do 2,5 m2</t>
  </si>
  <si>
    <t>553310042RX1</t>
  </si>
  <si>
    <t>Zárubeň ocelová HSE "LZ" 150 rozměr 800 x 1970 mm L/P Lakovaná RAL dle požadavku investora!! výkres 03 ozn. Z1</t>
  </si>
  <si>
    <t>Vlastní</t>
  </si>
  <si>
    <t>Specifikace</t>
  </si>
  <si>
    <t>POL3_</t>
  </si>
  <si>
    <t>941955001R00</t>
  </si>
  <si>
    <t>Lešení lehké pomocné, výška podlahy do 1,2 m</t>
  </si>
  <si>
    <t>5,64*4,125</t>
  </si>
  <si>
    <t>952901111R00</t>
  </si>
  <si>
    <t>Vyčištění budov o výšce podlaží do 4 m</t>
  </si>
  <si>
    <t>prostor kartotéky : 5,64*4,125</t>
  </si>
  <si>
    <t>dotčené prostory odhad : 5,64*5</t>
  </si>
  <si>
    <t>2,315*2</t>
  </si>
  <si>
    <t>963016211R00</t>
  </si>
  <si>
    <t>Demontáž podhledu SDK z kazet 600x600 mm, kov.rošt</t>
  </si>
  <si>
    <t>dle etapy č. IV. : 1,2*5,64</t>
  </si>
  <si>
    <t>dle etapy č.II. : 1,2*2,315</t>
  </si>
  <si>
    <t>965048515R00</t>
  </si>
  <si>
    <t>Broušení betonových povrchů do tl. 5 mm</t>
  </si>
  <si>
    <t>965081713RT1</t>
  </si>
  <si>
    <t>Bourání dlažeb keramických tl.10 mm, nad 1 m2 ručně, dlaždice keramické</t>
  </si>
  <si>
    <t>bourání pův dlažby dle VI. etapy : 1,4*3,5</t>
  </si>
  <si>
    <t>968062747R00</t>
  </si>
  <si>
    <t>Vybourání dřevěných stěn plochy nad 4 m2</t>
  </si>
  <si>
    <t>dřev stěna dle etapy č. I : 2,315*2,4</t>
  </si>
  <si>
    <t>stěna dle III. etapy : 5,64*2,4</t>
  </si>
  <si>
    <t>96RX1</t>
  </si>
  <si>
    <t>Demontáž a likvidace pultu recepce, výkres č. 06</t>
  </si>
  <si>
    <t>soubor</t>
  </si>
  <si>
    <t>913      R00</t>
  </si>
  <si>
    <t>Hzs - Stavební dělník</t>
  </si>
  <si>
    <t>h</t>
  </si>
  <si>
    <t>Prav.M</t>
  </si>
  <si>
    <t>HZS</t>
  </si>
  <si>
    <t>POL10_</t>
  </si>
  <si>
    <t>posun kartoték III. etapa : 3*3</t>
  </si>
  <si>
    <t>posun kartoték I. etapa : 3</t>
  </si>
  <si>
    <t>přesun pultu III. etapa : 2</t>
  </si>
  <si>
    <t>999281145R00</t>
  </si>
  <si>
    <t>Přesun hmot pro opravy a údržbu do v. 6 m, nošením</t>
  </si>
  <si>
    <t>t</t>
  </si>
  <si>
    <t>0,70107</t>
  </si>
  <si>
    <t>0,03165</t>
  </si>
  <si>
    <t>0,03677</t>
  </si>
  <si>
    <t>0,02815</t>
  </si>
  <si>
    <t>0,00224</t>
  </si>
  <si>
    <t>0,01251</t>
  </si>
  <si>
    <t>766661112R00</t>
  </si>
  <si>
    <t>Montáž dveří do zárubně,otevíravých 1kř.do 0,8 m</t>
  </si>
  <si>
    <t>998766201R00</t>
  </si>
  <si>
    <t>Přesun hmot pro truhlářské konstrukce, v objektech výšky do 6 m</t>
  </si>
  <si>
    <t>N1</t>
  </si>
  <si>
    <t>Pracovní pult kartotéky 0,75x5,64 dle PD, výkres č. 06</t>
  </si>
  <si>
    <t>O1</t>
  </si>
  <si>
    <t>přepážkové AL okno 1390x885 mm do sdk příčky dle PD výkres č. 04 včetně parapetní desky na obě strany</t>
  </si>
  <si>
    <t xml:space="preserve">ks    </t>
  </si>
  <si>
    <t>T4</t>
  </si>
  <si>
    <t>T5</t>
  </si>
  <si>
    <t>Stolová noha 50 x 50 x 715-730mm, stříbrná, parametry shodné s ( B2B )</t>
  </si>
  <si>
    <t>T6</t>
  </si>
  <si>
    <t>Dodávka a montáž obložení stěn dle výkresu č. 07, obložení stěn např. ACROWALL, ACROVYN tl. 2mm výběr byrvy dle investora</t>
  </si>
  <si>
    <t xml:space="preserve">m2    </t>
  </si>
  <si>
    <t>výkres VI.etapa : 2,315*0,87*2</t>
  </si>
  <si>
    <t>dveře : -0,9*0,87</t>
  </si>
  <si>
    <t>výkres VI. etapa : 5,435*0,87*2</t>
  </si>
  <si>
    <t>D1</t>
  </si>
  <si>
    <t>Dveře vnitřní dřevěné jendokřídlé 800 x 1970 do ocel. zárubně dle PD ozn D1,  č. výkresu 03 včetně kování</t>
  </si>
  <si>
    <t>767586201RU3</t>
  </si>
  <si>
    <t>Podhled minerální Armstrong, hrana Board  kazety Parafon Hygien, 18 mm, omyvatelné</t>
  </si>
  <si>
    <t>998767201R00</t>
  </si>
  <si>
    <t>Přesun hmot pro zámečnické konstrukce, v objektech výšky do 6 m</t>
  </si>
  <si>
    <t>767RX1</t>
  </si>
  <si>
    <t>Doplnění kazet po demontáži světel ( 4 kusy )</t>
  </si>
  <si>
    <t>771212117R00</t>
  </si>
  <si>
    <t>Kladení podlah z dlaždic keramických, do tmele, do 600 x 600 mm</t>
  </si>
  <si>
    <t>doplnění dlažby dle 6 etapy : 1,4*3,5</t>
  </si>
  <si>
    <t>771249111R00</t>
  </si>
  <si>
    <t>Řezání dlaždic tl. 22 mm diamantovým kotoučem</t>
  </si>
  <si>
    <t>m</t>
  </si>
  <si>
    <t>řezání původní dlažby : 1,4+1,4+3,5+3,5</t>
  </si>
  <si>
    <t>771579791R00</t>
  </si>
  <si>
    <t>Příplatek za plochu do 5 m2 jednotlivě, podlahy z dlaždic  keramických</t>
  </si>
  <si>
    <t>771579793R00</t>
  </si>
  <si>
    <t>Příplatek za spárovací hmotu - plošně, podlahy z dlaždic keramických</t>
  </si>
  <si>
    <t>998771201R00</t>
  </si>
  <si>
    <t>Přesun hmot pro podlahy z dlaždic, v objektech výšky do 6 m</t>
  </si>
  <si>
    <t>59764275R</t>
  </si>
  <si>
    <t>Dlažba dle stávající, doplnění</t>
  </si>
  <si>
    <t>SPCM</t>
  </si>
  <si>
    <t>4,9*1,15</t>
  </si>
  <si>
    <t>výkres II.etapa, P1 : 2,315*2,4*2</t>
  </si>
  <si>
    <t>výkres IV. etapa, P2 : 5,64*2,4*2</t>
  </si>
  <si>
    <t>784161401R00</t>
  </si>
  <si>
    <t>979081111R00</t>
  </si>
  <si>
    <t>Odvoz suti a vybour. hmot na skládku do 1 km</t>
  </si>
  <si>
    <t>Včetně naložení na dopravní prostředek a složení na skládku, bez poplatku za skládku.</t>
  </si>
  <si>
    <t>0,54807</t>
  </si>
  <si>
    <t>979081121R00</t>
  </si>
  <si>
    <t>Příplatek k odvozu za každý další 1 km</t>
  </si>
  <si>
    <t>979082111R00</t>
  </si>
  <si>
    <t>Vnitrostaveništní doprava suti do 10 m</t>
  </si>
  <si>
    <t>979082121R00</t>
  </si>
  <si>
    <t>Příplatek k vnitrost. dopravě suti za dalších 5 m</t>
  </si>
  <si>
    <t>979990161R00</t>
  </si>
  <si>
    <t>Poplatek za uložení - dřevo, skupina odpadu 170201</t>
  </si>
  <si>
    <t>kategorie 17 02 01 dřevo</t>
  </si>
  <si>
    <t>0,28638</t>
  </si>
  <si>
    <t>979999987R00</t>
  </si>
  <si>
    <t>Poplatek za recyklaci směsi suti betonu, cihel, tašek a ker.výrobků, kusovost nad 1600 cm2 (170107)</t>
  </si>
  <si>
    <t>0,54807-0,28638</t>
  </si>
  <si>
    <t>&gt;&gt;  skryté sloupce  &lt;&lt;</t>
  </si>
  <si>
    <t>{0af752a5-bca8-4305-ae1f-d693959bf885}</t>
  </si>
  <si>
    <t>2</t>
  </si>
  <si>
    <t>KRYCÍ LIST SOUPISU PRACÍ</t>
  </si>
  <si>
    <t>v ---  níže se nacházejí doplnkové a pomocné údaje k sestavám  --- v</t>
  </si>
  <si>
    <t>False</t>
  </si>
  <si>
    <t>Objekt:</t>
  </si>
  <si>
    <t>1. - TPS - Silnoproud</t>
  </si>
  <si>
    <t>KSO:</t>
  </si>
  <si>
    <t/>
  </si>
  <si>
    <t>CC-CZ:</t>
  </si>
  <si>
    <t>Místo:</t>
  </si>
  <si>
    <t>Brno</t>
  </si>
  <si>
    <t>Datum:</t>
  </si>
  <si>
    <t>Zadavatel:</t>
  </si>
  <si>
    <t>IČ:</t>
  </si>
  <si>
    <t>06611109</t>
  </si>
  <si>
    <t>Oldřich Střítecký</t>
  </si>
  <si>
    <t>Zpracovatel:</t>
  </si>
  <si>
    <t>PK Střítecký</t>
  </si>
  <si>
    <t>Poznámka:</t>
  </si>
  <si>
    <t>Cena bez DPH</t>
  </si>
  <si>
    <t>Základ daně</t>
  </si>
  <si>
    <t>Sazba daně</t>
  </si>
  <si>
    <t>Výše daně</t>
  </si>
  <si>
    <t>základní</t>
  </si>
  <si>
    <t>snížená</t>
  </si>
  <si>
    <t>zákl. přenesená</t>
  </si>
  <si>
    <t>sníž. přenesená</t>
  </si>
  <si>
    <t>nulová</t>
  </si>
  <si>
    <t>Projektant</t>
  </si>
  <si>
    <t>Zpracovatel</t>
  </si>
  <si>
    <t>Datum a podpis:</t>
  </si>
  <si>
    <t>Razítko</t>
  </si>
  <si>
    <t>Objednavatel</t>
  </si>
  <si>
    <t>Zhotovitel</t>
  </si>
  <si>
    <t>REKAPITULACE ČLENĚNÍ SOUPISU PRACÍ</t>
  </si>
  <si>
    <t>Kód dílu - Popis</t>
  </si>
  <si>
    <t>Cena celkem [CZK]</t>
  </si>
  <si>
    <t>Náklady ze soupisu prací</t>
  </si>
  <si>
    <t>-1</t>
  </si>
  <si>
    <t>PSV - Práce a dodávky PSV</t>
  </si>
  <si>
    <t xml:space="preserve">    741 - Elektroinstalace - silnoproud</t>
  </si>
  <si>
    <t xml:space="preserve">      KAB-01 - Kabeláž</t>
  </si>
  <si>
    <t xml:space="preserve">      PRS-01 - Přístroje</t>
  </si>
  <si>
    <t xml:space="preserve">      QSV-1 - Svítidla</t>
  </si>
  <si>
    <t>M - Práce a dodávky M</t>
  </si>
  <si>
    <t xml:space="preserve">    46-M - Zemní práce při extr.mont.pracích</t>
  </si>
  <si>
    <t xml:space="preserve">    58-M - Revize vyhrazených technických zařízení</t>
  </si>
  <si>
    <t>VRN - Vedlejší rozpočtové náklady</t>
  </si>
  <si>
    <t xml:space="preserve">    VRN1 - Průzkumné, geodetické a projektové práce</t>
  </si>
  <si>
    <t xml:space="preserve">    VRN4 - Inženýrská činnost</t>
  </si>
  <si>
    <t>SOUPIS PRACÍ</t>
  </si>
  <si>
    <t>PČ</t>
  </si>
  <si>
    <t>Typ</t>
  </si>
  <si>
    <t>Kód</t>
  </si>
  <si>
    <t>Popis</t>
  </si>
  <si>
    <t>J.cena [CZK]</t>
  </si>
  <si>
    <t>Cenová soustava</t>
  </si>
  <si>
    <t>J. Nh [h]</t>
  </si>
  <si>
    <t>Nh celkem [h]</t>
  </si>
  <si>
    <t>J. hmotnost [t]</t>
  </si>
  <si>
    <t>Hmotnost celkem [t]</t>
  </si>
  <si>
    <t>J. suť [t]</t>
  </si>
  <si>
    <t>Suť Celkem [t]</t>
  </si>
  <si>
    <t>Náklady soupisu celkem</t>
  </si>
  <si>
    <t>D</t>
  </si>
  <si>
    <t>Práce a dodávky PSV</t>
  </si>
  <si>
    <t>1</t>
  </si>
  <si>
    <t>0</t>
  </si>
  <si>
    <t>ROZPOCET</t>
  </si>
  <si>
    <t>741</t>
  </si>
  <si>
    <t>Elektroinstalace - silnoproud</t>
  </si>
  <si>
    <t>K</t>
  </si>
  <si>
    <t>741121811</t>
  </si>
  <si>
    <t>Demontáž šňůra Cu lehká a střední do 37 žil uložená volně</t>
  </si>
  <si>
    <t>4</t>
  </si>
  <si>
    <t>-661928900</t>
  </si>
  <si>
    <t>741122851</t>
  </si>
  <si>
    <t>Demontáž kabel Cu plný kulatý žíla 2x1,5 až 6 mm2, 3x1,5 až 10 mm2, 4x1,5 až 10 mm2, 5x1,5 až 6 mm2, 7x1,5 až 4 mm2, 12x1,5 mm2 uložený volně</t>
  </si>
  <si>
    <t>-257970003</t>
  </si>
  <si>
    <t>3</t>
  </si>
  <si>
    <t>741311803</t>
  </si>
  <si>
    <t>Demontáž spínačů nástěnných normálních do 10 A bezšroubových bez zachování funkčnosti do 2 svorek</t>
  </si>
  <si>
    <t>-2061568193</t>
  </si>
  <si>
    <t>741315825</t>
  </si>
  <si>
    <t>Demontáž zásuvek dom do 16A zapuštěných šroub bez zachování funkčnosti 2P+PE pro průběžnou montáž</t>
  </si>
  <si>
    <t>-1331431293</t>
  </si>
  <si>
    <t>KAB-01</t>
  </si>
  <si>
    <t>Kabeláž</t>
  </si>
  <si>
    <t>5</t>
  </si>
  <si>
    <t>741122031</t>
  </si>
  <si>
    <t>Montáž kabel Cu bez ukončení uložený pod omítku plný kulatý 5x1,5 až 2,5 mm2 (CYKY)</t>
  </si>
  <si>
    <t>16</t>
  </si>
  <si>
    <t>-374963294</t>
  </si>
  <si>
    <t>6</t>
  </si>
  <si>
    <t>M</t>
  </si>
  <si>
    <t>34111090</t>
  </si>
  <si>
    <t>kabel instalační jádro Cu plné izolace PVC plášť PVC 450/750V (CYKY) 5x1,5mm2</t>
  </si>
  <si>
    <t>32</t>
  </si>
  <si>
    <t>1263824323</t>
  </si>
  <si>
    <t>7</t>
  </si>
  <si>
    <t>741112811</t>
  </si>
  <si>
    <t>Demontáž elektroinstalačních kanálů parapetních vkládacích uložených pevně</t>
  </si>
  <si>
    <t>-477235561</t>
  </si>
  <si>
    <t>8</t>
  </si>
  <si>
    <t>741122211</t>
  </si>
  <si>
    <t>Montáž kabel Cu plný kulatý žíla 3x1,5 až 6 mm2 uložený volně (např. CYKY)</t>
  </si>
  <si>
    <t>110801054</t>
  </si>
  <si>
    <t>9</t>
  </si>
  <si>
    <t>34111030</t>
  </si>
  <si>
    <t>kabel silový s Cu jádrem 1kV 3x1,5mm2</t>
  </si>
  <si>
    <t>-188168178</t>
  </si>
  <si>
    <t>10</t>
  </si>
  <si>
    <t>34111030-R01</t>
  </si>
  <si>
    <t>kabel silový s Cu jádrem 1kV CYKY-O 3x1,5mm2</t>
  </si>
  <si>
    <t>605195396</t>
  </si>
  <si>
    <t>11</t>
  </si>
  <si>
    <t>34111036</t>
  </si>
  <si>
    <t>kabel silový s Cu jádrem 1kV 3x2,5mm2</t>
  </si>
  <si>
    <t>-55593864</t>
  </si>
  <si>
    <t>12</t>
  </si>
  <si>
    <t>742110041.R</t>
  </si>
  <si>
    <t>Montáž lišt vkládacích pro silnoproud</t>
  </si>
  <si>
    <t>-1409380776</t>
  </si>
  <si>
    <t>13</t>
  </si>
  <si>
    <t>34571006</t>
  </si>
  <si>
    <t>lišta elektroinstalační hranatá PVC 30x25mm</t>
  </si>
  <si>
    <t>1356255160</t>
  </si>
  <si>
    <t>14</t>
  </si>
  <si>
    <t>741130001-RR</t>
  </si>
  <si>
    <t>Ukončení kabel izolovaný do 2,5mm2 v rozváděči nebo na přístroji</t>
  </si>
  <si>
    <t>841595859</t>
  </si>
  <si>
    <t>PRS-01</t>
  </si>
  <si>
    <t>Přístroje</t>
  </si>
  <si>
    <t>15</t>
  </si>
  <si>
    <t>741112061</t>
  </si>
  <si>
    <t>Montáž krabice přístrojová zapuštěná plastová kruhová</t>
  </si>
  <si>
    <t>-363648005</t>
  </si>
  <si>
    <t>34571450</t>
  </si>
  <si>
    <t>krabice pod omítku PVC přístrojová kruhová D 70mm</t>
  </si>
  <si>
    <t>-220795291</t>
  </si>
  <si>
    <t>17</t>
  </si>
  <si>
    <t>34571451</t>
  </si>
  <si>
    <t>krabice pod omítku PVC přístrojová kruhová D 70mm hluboká</t>
  </si>
  <si>
    <t>1258484102</t>
  </si>
  <si>
    <t>18</t>
  </si>
  <si>
    <t>741310121</t>
  </si>
  <si>
    <t>Montáž přepínač (polo)zapuštěný bezšroubové připojení 5-seriový</t>
  </si>
  <si>
    <t>-1342729277</t>
  </si>
  <si>
    <t>19</t>
  </si>
  <si>
    <t>34539012</t>
  </si>
  <si>
    <t>Přepínač sériový, řazení 5 bezšroubové svorky</t>
  </si>
  <si>
    <t>606330903</t>
  </si>
  <si>
    <t>20</t>
  </si>
  <si>
    <t>741310221</t>
  </si>
  <si>
    <t>Montáž spínač (polo)zapuštěný šroubové připojení řazení 2-pro žaluzie</t>
  </si>
  <si>
    <t>-751028328</t>
  </si>
  <si>
    <t>21</t>
  </si>
  <si>
    <t>34539008</t>
  </si>
  <si>
    <t>Ovládač zapínací dvojitý, řazení 1/0+1/0 šroubové svorky</t>
  </si>
  <si>
    <t>-585159040</t>
  </si>
  <si>
    <t>22</t>
  </si>
  <si>
    <t>741313001</t>
  </si>
  <si>
    <t>Montáž zásuvka (polo)zapuštěná bezšroubové připojení 2P+PE se zapojením vodičů</t>
  </si>
  <si>
    <t>-462390184</t>
  </si>
  <si>
    <t>23</t>
  </si>
  <si>
    <t>ABB.0002475.URS</t>
  </si>
  <si>
    <t>zásuvka 1násobná 16A</t>
  </si>
  <si>
    <t>1807361349</t>
  </si>
  <si>
    <t>24</t>
  </si>
  <si>
    <t>741313012</t>
  </si>
  <si>
    <t>Montáž zásuvka chráněná bezšroubové připojení v krabici 2P+PE dvojí zapojení prostř. základní,vlhké</t>
  </si>
  <si>
    <t>1313864354</t>
  </si>
  <si>
    <t>25</t>
  </si>
  <si>
    <t>27515534.R</t>
  </si>
  <si>
    <t>Zásuvka lištová s krabicí IP20 rámečkem a strojkem</t>
  </si>
  <si>
    <t>-1323458264</t>
  </si>
  <si>
    <t>26</t>
  </si>
  <si>
    <t>742110202</t>
  </si>
  <si>
    <t>Montáž podlahových krabic pro slaboproud do mazaniny</t>
  </si>
  <si>
    <t>706587196</t>
  </si>
  <si>
    <t>27</t>
  </si>
  <si>
    <t>1146545-RR1</t>
  </si>
  <si>
    <t>Podlahová krabice 8 modulů</t>
  </si>
  <si>
    <t>1668753658</t>
  </si>
  <si>
    <t>QSV-1</t>
  </si>
  <si>
    <t>Svítidla</t>
  </si>
  <si>
    <t>28</t>
  </si>
  <si>
    <t>741372061-R01</t>
  </si>
  <si>
    <t>Montáž LED svítidlo</t>
  </si>
  <si>
    <t>-332439902</t>
  </si>
  <si>
    <t>29</t>
  </si>
  <si>
    <t>34513152.R</t>
  </si>
  <si>
    <t>LED závěsné, 28W 4000K, stmívatelné pomocí tlačítka TouchDim, bílý lamelový reflektor v direktním směru, maximální omezení rušivého oslnění UGR&lt;19, opálový difuzer v indirektním směru, povrchová úprava bílá, 40x75x1194mm</t>
  </si>
  <si>
    <t>-242742376</t>
  </si>
  <si>
    <t>Práce a dodávky M</t>
  </si>
  <si>
    <t>46-M</t>
  </si>
  <si>
    <t>Zemní práce při extr.mont.pracích</t>
  </si>
  <si>
    <t>30</t>
  </si>
  <si>
    <t>460941223</t>
  </si>
  <si>
    <t>Vyplnění a omítnutí rýh při elektroinstalacích ve stěnách hloubky do 5 cm a šířky do 10 cm</t>
  </si>
  <si>
    <t>1171078105</t>
  </si>
  <si>
    <t>31</t>
  </si>
  <si>
    <t>468111212</t>
  </si>
  <si>
    <t>Frézování drážek pro vodiče ve stěnách z dutých cihel nebo tvárnic do 5x5 cm</t>
  </si>
  <si>
    <t>1494851063</t>
  </si>
  <si>
    <t>469971111</t>
  </si>
  <si>
    <t>Svislá doprava suti a vybouraných hmot při elektromontážích za první podlaží</t>
  </si>
  <si>
    <t>761069967</t>
  </si>
  <si>
    <t>33</t>
  </si>
  <si>
    <t>469971121</t>
  </si>
  <si>
    <t>Příplatek ke svislé dopravě suti a vybouraných hmot při elektromontážích za každé další podlaží</t>
  </si>
  <si>
    <t>-322031895</t>
  </si>
  <si>
    <t>34</t>
  </si>
  <si>
    <t>469972111</t>
  </si>
  <si>
    <t>Odvoz suti a vybouraných hmot při elektromontážích do 1 km</t>
  </si>
  <si>
    <t>-922491571</t>
  </si>
  <si>
    <t>35</t>
  </si>
  <si>
    <t>469972121</t>
  </si>
  <si>
    <t>Příplatek k odvozu suti a vybouraných hmot při elektromontážích za každý další 1 km</t>
  </si>
  <si>
    <t>1831042545</t>
  </si>
  <si>
    <t>469973113</t>
  </si>
  <si>
    <t>Poplatek za uložení na skládce (skládkovné) stavebního odpadu cihelného kód odpadu 17 01 02</t>
  </si>
  <si>
    <t>-7444617</t>
  </si>
  <si>
    <t>58-M</t>
  </si>
  <si>
    <t>Revize vyhrazených technických zařízení</t>
  </si>
  <si>
    <t>37</t>
  </si>
  <si>
    <t>580103001</t>
  </si>
  <si>
    <t>Revize elektroinstalace</t>
  </si>
  <si>
    <t>-1825940266</t>
  </si>
  <si>
    <t>Vedlejší rozpočtové náklady</t>
  </si>
  <si>
    <t>VRN1</t>
  </si>
  <si>
    <t>Průzkumné, geodetické a projektové práce</t>
  </si>
  <si>
    <t>38</t>
  </si>
  <si>
    <t>013254000</t>
  </si>
  <si>
    <t>Dokumentace skutečného provedení stavby</t>
  </si>
  <si>
    <t>1024</t>
  </si>
  <si>
    <t>-1014526012</t>
  </si>
  <si>
    <t>VRN4</t>
  </si>
  <si>
    <t>Inženýrská činnost</t>
  </si>
  <si>
    <t>39</t>
  </si>
  <si>
    <t>045002000</t>
  </si>
  <si>
    <t>Kompletační a koordinační činnost</t>
  </si>
  <si>
    <t>-1925525427</t>
  </si>
  <si>
    <t>{7991457f-9d14-4a75-8c29-1ec29d13ef2c}</t>
  </si>
  <si>
    <t>2. - TPS - Elektronické komunikace</t>
  </si>
  <si>
    <t xml:space="preserve">    742 - Elektroinstalace - slaboproud</t>
  </si>
  <si>
    <t xml:space="preserve">      SKS-01 - Strukturovaný kabelážní systém</t>
  </si>
  <si>
    <t>742</t>
  </si>
  <si>
    <t>Elektroinstalace - slaboproud</t>
  </si>
  <si>
    <t>742110041</t>
  </si>
  <si>
    <t>Montáž lišt vkládacích pro slaboproud</t>
  </si>
  <si>
    <t>-309604504</t>
  </si>
  <si>
    <t>34571003</t>
  </si>
  <si>
    <t>lišta elektroinstalační hranatá PVC 17x17mm</t>
  </si>
  <si>
    <t>1731333892</t>
  </si>
  <si>
    <t>742110501</t>
  </si>
  <si>
    <t>Montáž krabic pro slaboproud zapuštěných plastových odbočných kruhových s víčkem a se zasekáním</t>
  </si>
  <si>
    <t>350891246</t>
  </si>
  <si>
    <t>34571511</t>
  </si>
  <si>
    <t>krabice přístrojová instalační 500V, D 68mmx30mm</t>
  </si>
  <si>
    <t>1074784820</t>
  </si>
  <si>
    <t>SKS-01</t>
  </si>
  <si>
    <t>Strukturovaný kabelážní systém</t>
  </si>
  <si>
    <t>742121001</t>
  </si>
  <si>
    <t>Montáž kabelů sdělovacích pro vnitřní rozvody do 15 žil</t>
  </si>
  <si>
    <t>-158231084</t>
  </si>
  <si>
    <t>10.781.222</t>
  </si>
  <si>
    <t>UTP 4x2x0,5 cat.6 drát LSOH 500m fialová</t>
  </si>
  <si>
    <t>678135970</t>
  </si>
  <si>
    <t>742330011.R</t>
  </si>
  <si>
    <t>Instalace HDMI kabelu</t>
  </si>
  <si>
    <t>-1821051672</t>
  </si>
  <si>
    <t>534384.R</t>
  </si>
  <si>
    <t>HDMI kabel 20m</t>
  </si>
  <si>
    <t>1132929550</t>
  </si>
  <si>
    <t>742330021.R</t>
  </si>
  <si>
    <t>Demontáž a zpětná montáž vyvolávacáho zařízení</t>
  </si>
  <si>
    <t>1182259422</t>
  </si>
  <si>
    <t>742330023.R</t>
  </si>
  <si>
    <t>Demontáž a zpětná montáž zobrazovacího zařízení (TV)</t>
  </si>
  <si>
    <t>1701863467</t>
  </si>
  <si>
    <t>742330042</t>
  </si>
  <si>
    <t>Montáž datové dvouzásuvky</t>
  </si>
  <si>
    <t>2020656965</t>
  </si>
  <si>
    <t>1005002</t>
  </si>
  <si>
    <t>ZASUVKA DATOVA SOLARIX CAT6 UTP 2XRJ45 P</t>
  </si>
  <si>
    <t>899954744</t>
  </si>
  <si>
    <t>742330051</t>
  </si>
  <si>
    <t>Popis portu datové zásuvky</t>
  </si>
  <si>
    <t>946494735</t>
  </si>
  <si>
    <t>742330101</t>
  </si>
  <si>
    <t>Měření metalického segmentu s vyhotovením protokolu</t>
  </si>
  <si>
    <t>547043786</t>
  </si>
  <si>
    <t>-438974633</t>
  </si>
  <si>
    <t>-994386366</t>
  </si>
  <si>
    <t>03</t>
  </si>
  <si>
    <t>Silnoproud</t>
  </si>
  <si>
    <t>04</t>
  </si>
  <si>
    <t>TPS Elektronická komunikace</t>
  </si>
  <si>
    <t>SIL</t>
  </si>
  <si>
    <t>SLP</t>
  </si>
  <si>
    <t>TPS - Elektronická komunikace</t>
  </si>
  <si>
    <t>784165432R00</t>
  </si>
  <si>
    <t>Malba tek. Hotěruvdorná, bílá, bez penet.,2x</t>
  </si>
  <si>
    <t>Penetrace podkladu nátěrem , 1 x</t>
  </si>
  <si>
    <t>02</t>
  </si>
  <si>
    <t>Evidence DTC</t>
  </si>
  <si>
    <t>Stavební úpravy</t>
  </si>
  <si>
    <t>vyvol zař 25 000</t>
  </si>
  <si>
    <t>mont 6000</t>
  </si>
  <si>
    <t xml:space="preserve">D + M odkládací poličky před evidenci pro pacienty, DTD lamino dle výběru investora, </t>
  </si>
  <si>
    <t>D + M Vyvolávacího systému pro pacienty ( dle standardu FN Brno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</si>
</sst>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
    <numFmt numFmtId="166" formatCode="dd\.mm\.yyyy"/>
    <numFmt numFmtId="167" formatCode="#,##0.00%"/>
    <numFmt numFmtId="168" formatCode="#,##0.000"/>
  </numFmts>
  <fonts count="42"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7"/>
      <name val="Arial CE"/>
      <charset val="238"/>
    </font>
    <font>
      <sz val="8"/>
      <color indexed="9"/>
      <name val="Arial CE"/>
      <charset val="238"/>
    </font>
    <font>
      <sz val="8"/>
      <color indexed="12"/>
      <name val="Arial CE"/>
      <charset val="238"/>
    </font>
    <font>
      <sz val="8"/>
      <name val="Arial CE"/>
      <family val="2"/>
    </font>
    <font>
      <sz val="8"/>
      <color rgb="FF3366FF"/>
      <name val="Arial CE"/>
    </font>
    <font>
      <b/>
      <sz val="14"/>
      <name val="Arial CE"/>
    </font>
    <font>
      <sz val="10"/>
      <color rgb="FF3366FF"/>
      <name val="Arial CE"/>
    </font>
    <font>
      <sz val="10"/>
      <color rgb="FF969696"/>
      <name val="Arial CE"/>
    </font>
    <font>
      <b/>
      <sz val="11"/>
      <name val="Arial CE"/>
    </font>
    <font>
      <sz val="10"/>
      <name val="Arial CE"/>
    </font>
    <font>
      <b/>
      <sz val="10"/>
      <name val="Arial CE"/>
    </font>
    <font>
      <b/>
      <sz val="12"/>
      <color rgb="FF960000"/>
      <name val="Arial CE"/>
    </font>
    <font>
      <sz val="8"/>
      <color rgb="FF969696"/>
      <name val="Arial CE"/>
    </font>
    <font>
      <b/>
      <sz val="12"/>
      <name val="Arial CE"/>
    </font>
    <font>
      <b/>
      <sz val="10"/>
      <color rgb="FF464646"/>
      <name val="Arial CE"/>
    </font>
    <font>
      <sz val="9"/>
      <name val="Arial CE"/>
    </font>
    <font>
      <b/>
      <sz val="12"/>
      <color rgb="FF800000"/>
      <name val="Arial CE"/>
    </font>
    <font>
      <sz val="12"/>
      <color rgb="FF003366"/>
      <name val="Arial CE"/>
    </font>
    <font>
      <sz val="10"/>
      <color rgb="FF003366"/>
      <name val="Arial CE"/>
    </font>
    <font>
      <sz val="9"/>
      <color rgb="FF969696"/>
      <name val="Arial CE"/>
    </font>
    <font>
      <sz val="8"/>
      <color rgb="FF960000"/>
      <name val="Arial CE"/>
    </font>
    <font>
      <b/>
      <sz val="8"/>
      <name val="Arial CE"/>
    </font>
    <font>
      <sz val="8"/>
      <color rgb="FF003366"/>
      <name val="Arial CE"/>
    </font>
    <font>
      <i/>
      <sz val="9"/>
      <color rgb="FF0000FF"/>
      <name val="Arial CE"/>
    </font>
    <font>
      <i/>
      <sz val="8"/>
      <color rgb="FF0000FF"/>
      <name val="Arial CE"/>
    </font>
  </fonts>
  <fills count="8">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rgb="FFC0C0C0"/>
      </patternFill>
    </fill>
    <fill>
      <patternFill patternType="solid">
        <fgColor rgb="FFD2D2D2"/>
      </patternFill>
    </fill>
  </fills>
  <borders count="6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969696"/>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s>
  <cellStyleXfs count="3">
    <xf numFmtId="0" fontId="0" fillId="0" borderId="0"/>
    <xf numFmtId="0" fontId="1" fillId="0" borderId="0"/>
    <xf numFmtId="0" fontId="20" fillId="0" borderId="0"/>
  </cellStyleXfs>
  <cellXfs count="394">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30" xfId="0" applyNumberFormat="1" applyFont="1" applyFill="1" applyBorder="1" applyAlignment="1">
      <alignment vertical="center"/>
    </xf>
    <xf numFmtId="4" fontId="7" fillId="5" borderId="31" xfId="0" applyNumberFormat="1" applyFont="1" applyFill="1" applyBorder="1" applyAlignment="1">
      <alignment vertical="center" wrapText="1"/>
    </xf>
    <xf numFmtId="4" fontId="10" fillId="5" borderId="32" xfId="0" applyNumberFormat="1" applyFont="1" applyFill="1" applyBorder="1" applyAlignment="1">
      <alignment horizontal="center" vertical="center" wrapText="1" shrinkToFit="1"/>
    </xf>
    <xf numFmtId="4" fontId="7" fillId="5" borderId="32" xfId="0" applyNumberFormat="1" applyFont="1" applyFill="1" applyBorder="1" applyAlignment="1">
      <alignment horizontal="center" vertical="center" wrapText="1" shrinkToFit="1"/>
    </xf>
    <xf numFmtId="3" fontId="7" fillId="5" borderId="32" xfId="0" applyNumberFormat="1" applyFont="1" applyFill="1" applyBorder="1" applyAlignment="1">
      <alignment horizontal="center" vertical="center" wrapText="1"/>
    </xf>
    <xf numFmtId="4" fontId="0" fillId="0" borderId="33" xfId="0" applyNumberFormat="1" applyBorder="1" applyAlignment="1">
      <alignment vertical="center"/>
    </xf>
    <xf numFmtId="4" fontId="3" fillId="0" borderId="35" xfId="0" applyNumberFormat="1" applyFont="1" applyBorder="1" applyAlignment="1">
      <alignment horizontal="right" vertical="center" wrapText="1" shrinkToFit="1"/>
    </xf>
    <xf numFmtId="4" fontId="3" fillId="0" borderId="35" xfId="0" applyNumberFormat="1" applyFont="1" applyBorder="1" applyAlignment="1">
      <alignment horizontal="right" vertical="center" shrinkToFit="1"/>
    </xf>
    <xf numFmtId="4" fontId="0" fillId="0" borderId="35" xfId="0" applyNumberFormat="1" applyBorder="1" applyAlignment="1">
      <alignment vertical="center" shrinkToFit="1"/>
    </xf>
    <xf numFmtId="3" fontId="0" fillId="0" borderId="35" xfId="0" applyNumberFormat="1" applyBorder="1" applyAlignment="1">
      <alignment vertical="center"/>
    </xf>
    <xf numFmtId="4" fontId="8" fillId="0" borderId="33" xfId="0" applyNumberFormat="1" applyFont="1" applyBorder="1" applyAlignment="1">
      <alignment vertical="center"/>
    </xf>
    <xf numFmtId="4" fontId="8" fillId="0" borderId="35" xfId="0" applyNumberFormat="1" applyFont="1" applyBorder="1" applyAlignment="1">
      <alignment vertical="center" wrapText="1" shrinkToFit="1"/>
    </xf>
    <xf numFmtId="4" fontId="8" fillId="0" borderId="35" xfId="0" applyNumberFormat="1" applyFont="1" applyBorder="1" applyAlignment="1">
      <alignment vertical="center" shrinkToFit="1"/>
    </xf>
    <xf numFmtId="3" fontId="8" fillId="0" borderId="35" xfId="0" applyNumberFormat="1" applyFont="1" applyBorder="1" applyAlignment="1">
      <alignment vertical="center"/>
    </xf>
    <xf numFmtId="4" fontId="0" fillId="0" borderId="33" xfId="0" applyNumberFormat="1" applyBorder="1" applyAlignment="1">
      <alignment horizontal="left" vertical="center"/>
    </xf>
    <xf numFmtId="4" fontId="0" fillId="0" borderId="35" xfId="0" applyNumberFormat="1" applyBorder="1" applyAlignment="1">
      <alignment vertical="center" wrapText="1" shrinkToFit="1"/>
    </xf>
    <xf numFmtId="4" fontId="0" fillId="3" borderId="39" xfId="0" applyNumberFormat="1" applyFill="1" applyBorder="1" applyAlignment="1">
      <alignment vertical="center" wrapText="1" shrinkToFit="1"/>
    </xf>
    <xf numFmtId="4" fontId="0" fillId="3" borderId="39" xfId="0" applyNumberFormat="1" applyFill="1" applyBorder="1" applyAlignment="1">
      <alignment vertical="center" shrinkToFit="1"/>
    </xf>
    <xf numFmtId="3" fontId="0" fillId="3" borderId="39"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30"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5" fillId="5" borderId="32" xfId="0" applyFont="1" applyFill="1" applyBorder="1" applyAlignment="1">
      <alignment horizontal="center" vertical="center" wrapText="1"/>
    </xf>
    <xf numFmtId="49" fontId="7" fillId="0" borderId="33" xfId="0" applyNumberFormat="1" applyFont="1" applyBorder="1" applyAlignment="1">
      <alignment vertical="center"/>
    </xf>
    <xf numFmtId="4" fontId="7" fillId="0" borderId="35" xfId="0" applyNumberFormat="1" applyFont="1" applyBorder="1" applyAlignment="1">
      <alignment vertical="center"/>
    </xf>
    <xf numFmtId="0" fontId="7" fillId="3" borderId="36" xfId="0" applyFont="1" applyFill="1" applyBorder="1" applyAlignment="1">
      <alignment vertical="center"/>
    </xf>
    <xf numFmtId="0" fontId="7" fillId="3" borderId="36" xfId="0" applyFont="1" applyFill="1" applyBorder="1" applyAlignment="1">
      <alignment vertical="center" wrapText="1"/>
    </xf>
    <xf numFmtId="0" fontId="7" fillId="3" borderId="37" xfId="0" applyFont="1" applyFill="1" applyBorder="1" applyAlignment="1">
      <alignment vertical="center" wrapText="1"/>
    </xf>
    <xf numFmtId="4" fontId="7" fillId="3" borderId="39" xfId="0" applyNumberFormat="1" applyFont="1" applyFill="1" applyBorder="1" applyAlignment="1">
      <alignment vertical="center"/>
    </xf>
    <xf numFmtId="164" fontId="7" fillId="0" borderId="35" xfId="0" applyNumberFormat="1" applyFont="1" applyBorder="1" applyAlignment="1">
      <alignment vertical="center"/>
    </xf>
    <xf numFmtId="164" fontId="7" fillId="3" borderId="39" xfId="0" applyNumberFormat="1" applyFont="1" applyFill="1" applyBorder="1" applyAlignment="1">
      <alignment vertical="center"/>
    </xf>
    <xf numFmtId="164" fontId="0" fillId="0" borderId="0" xfId="0" applyNumberFormat="1"/>
    <xf numFmtId="4" fontId="7" fillId="0" borderId="35" xfId="0" applyNumberFormat="1" applyFont="1" applyBorder="1" applyAlignment="1">
      <alignment horizontal="center" vertical="center"/>
    </xf>
    <xf numFmtId="4" fontId="7" fillId="3" borderId="39" xfId="0" applyNumberFormat="1" applyFont="1" applyFill="1" applyBorder="1" applyAlignment="1">
      <alignment horizontal="center" vertical="center"/>
    </xf>
    <xf numFmtId="49" fontId="0" fillId="0" borderId="1" xfId="0" applyNumberFormat="1" applyBorder="1"/>
    <xf numFmtId="0" fontId="0" fillId="3" borderId="21" xfId="0"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Alignment="1">
      <alignment vertical="top"/>
    </xf>
    <xf numFmtId="49" fontId="16" fillId="0" borderId="0" xfId="0" applyNumberFormat="1" applyFont="1" applyAlignment="1">
      <alignment vertical="top"/>
    </xf>
    <xf numFmtId="165" fontId="16" fillId="0" borderId="0" xfId="0" applyNumberFormat="1" applyFont="1" applyAlignment="1">
      <alignment vertical="top" shrinkToFit="1"/>
    </xf>
    <xf numFmtId="4" fontId="16" fillId="0" borderId="0" xfId="0" applyNumberFormat="1" applyFont="1" applyAlignment="1">
      <alignment vertical="top" shrinkToFit="1"/>
    </xf>
    <xf numFmtId="4" fontId="8" fillId="3" borderId="0" xfId="0" applyNumberFormat="1" applyFont="1" applyFill="1" applyAlignment="1">
      <alignment vertical="top" shrinkToFit="1"/>
    </xf>
    <xf numFmtId="0" fontId="8" fillId="3" borderId="29"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40"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41" xfId="0" applyFont="1" applyBorder="1" applyAlignment="1">
      <alignment vertical="top"/>
    </xf>
    <xf numFmtId="49" fontId="16" fillId="0" borderId="42" xfId="0" applyNumberFormat="1" applyFont="1" applyBorder="1" applyAlignment="1">
      <alignment vertical="top"/>
    </xf>
    <xf numFmtId="0" fontId="16" fillId="0" borderId="42" xfId="0" applyFont="1" applyBorder="1" applyAlignment="1">
      <alignment horizontal="center" vertical="top" shrinkToFit="1"/>
    </xf>
    <xf numFmtId="165" fontId="16" fillId="0" borderId="42" xfId="0" applyNumberFormat="1" applyFont="1" applyBorder="1" applyAlignment="1">
      <alignment vertical="top" shrinkToFit="1"/>
    </xf>
    <xf numFmtId="4" fontId="16" fillId="4" borderId="42" xfId="0" applyNumberFormat="1" applyFont="1" applyFill="1" applyBorder="1" applyAlignment="1" applyProtection="1">
      <alignment vertical="top" shrinkToFit="1"/>
      <protection locked="0"/>
    </xf>
    <xf numFmtId="4" fontId="16" fillId="0" borderId="42" xfId="0" applyNumberFormat="1" applyFont="1" applyBorder="1" applyAlignment="1">
      <alignment vertical="top" shrinkToFit="1"/>
    </xf>
    <xf numFmtId="4" fontId="16" fillId="0" borderId="43" xfId="0" applyNumberFormat="1" applyFont="1" applyBorder="1" applyAlignment="1">
      <alignment vertical="top" shrinkToFit="1"/>
    </xf>
    <xf numFmtId="0" fontId="18" fillId="0" borderId="0" xfId="0" applyFont="1" applyAlignment="1">
      <alignment wrapText="1"/>
    </xf>
    <xf numFmtId="49" fontId="8" fillId="3" borderId="18" xfId="0" applyNumberFormat="1" applyFont="1" applyFill="1" applyBorder="1" applyAlignment="1">
      <alignment horizontal="left" vertical="top" wrapText="1"/>
    </xf>
    <xf numFmtId="49" fontId="16" fillId="0" borderId="42"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19" fillId="0" borderId="0" xfId="0" applyNumberFormat="1" applyFont="1" applyAlignment="1">
      <alignment horizontal="center" vertical="top" wrapText="1" shrinkToFit="1"/>
    </xf>
    <xf numFmtId="165" fontId="19" fillId="0" borderId="0" xfId="0" applyNumberFormat="1" applyFont="1" applyAlignment="1">
      <alignment vertical="top" wrapText="1" shrinkToFit="1"/>
    </xf>
    <xf numFmtId="0" fontId="16" fillId="0" borderId="44" xfId="0" applyFont="1" applyBorder="1" applyAlignment="1">
      <alignment vertical="top"/>
    </xf>
    <xf numFmtId="49" fontId="16" fillId="0" borderId="45" xfId="0" applyNumberFormat="1" applyFont="1" applyBorder="1" applyAlignment="1">
      <alignment vertical="top"/>
    </xf>
    <xf numFmtId="0" fontId="16" fillId="0" borderId="45" xfId="0" applyFont="1" applyBorder="1" applyAlignment="1">
      <alignment horizontal="center" vertical="top" shrinkToFit="1"/>
    </xf>
    <xf numFmtId="165" fontId="16" fillId="0" borderId="45" xfId="0" applyNumberFormat="1" applyFont="1" applyBorder="1" applyAlignment="1">
      <alignment vertical="top" shrinkToFit="1"/>
    </xf>
    <xf numFmtId="4" fontId="16" fillId="4" borderId="45" xfId="0" applyNumberFormat="1" applyFont="1" applyFill="1" applyBorder="1" applyAlignment="1" applyProtection="1">
      <alignment vertical="top" shrinkToFit="1"/>
      <protection locked="0"/>
    </xf>
    <xf numFmtId="4" fontId="16" fillId="0" borderId="45" xfId="0" applyNumberFormat="1" applyFont="1" applyBorder="1" applyAlignment="1">
      <alignment vertical="top" shrinkToFit="1"/>
    </xf>
    <xf numFmtId="4" fontId="16" fillId="0" borderId="46" xfId="0" applyNumberFormat="1" applyFont="1" applyBorder="1" applyAlignment="1">
      <alignment vertical="top" shrinkToFit="1"/>
    </xf>
    <xf numFmtId="165" fontId="19" fillId="0" borderId="0" xfId="0" quotePrefix="1" applyNumberFormat="1" applyFont="1" applyAlignment="1">
      <alignment horizontal="left" vertical="top" wrapText="1"/>
    </xf>
    <xf numFmtId="49" fontId="16" fillId="0" borderId="45" xfId="0" applyNumberFormat="1" applyFont="1" applyBorder="1" applyAlignment="1">
      <alignment horizontal="left" vertical="top" wrapText="1"/>
    </xf>
    <xf numFmtId="0" fontId="20" fillId="0" borderId="0" xfId="2"/>
    <xf numFmtId="0" fontId="20" fillId="0" borderId="0" xfId="2" applyAlignment="1">
      <alignment horizontal="left" vertical="center"/>
    </xf>
    <xf numFmtId="0" fontId="20" fillId="0" borderId="47" xfId="2" applyBorder="1"/>
    <xf numFmtId="0" fontId="20" fillId="0" borderId="48" xfId="2" applyBorder="1"/>
    <xf numFmtId="0" fontId="20" fillId="0" borderId="49" xfId="2" applyBorder="1"/>
    <xf numFmtId="0" fontId="22" fillId="0" borderId="0" xfId="2" applyFont="1" applyAlignment="1">
      <alignment horizontal="left" vertical="center"/>
    </xf>
    <xf numFmtId="0" fontId="23" fillId="0" borderId="0" xfId="2" applyFont="1" applyAlignment="1">
      <alignment horizontal="left" vertical="center"/>
    </xf>
    <xf numFmtId="0" fontId="24" fillId="0" borderId="0" xfId="2" applyFont="1" applyAlignment="1">
      <alignment horizontal="left" vertical="center"/>
    </xf>
    <xf numFmtId="0" fontId="20" fillId="0" borderId="49" xfId="2" applyBorder="1" applyAlignment="1">
      <alignment vertical="center"/>
    </xf>
    <xf numFmtId="0" fontId="20" fillId="0" borderId="0" xfId="2" applyAlignment="1">
      <alignment vertical="center"/>
    </xf>
    <xf numFmtId="0" fontId="26" fillId="0" borderId="0" xfId="2" applyFont="1" applyAlignment="1">
      <alignment horizontal="left" vertical="center"/>
    </xf>
    <xf numFmtId="166" fontId="26" fillId="0" borderId="0" xfId="2" applyNumberFormat="1" applyFont="1" applyAlignment="1">
      <alignment horizontal="left" vertical="center"/>
    </xf>
    <xf numFmtId="0" fontId="20" fillId="0" borderId="49" xfId="2" applyBorder="1" applyAlignment="1">
      <alignment vertical="center" wrapText="1"/>
    </xf>
    <xf numFmtId="0" fontId="20" fillId="0" borderId="0" xfId="2" applyAlignment="1">
      <alignment vertical="center" wrapText="1"/>
    </xf>
    <xf numFmtId="0" fontId="26" fillId="0" borderId="0" xfId="2" applyFont="1" applyAlignment="1">
      <alignment horizontal="left" vertical="center" wrapText="1"/>
    </xf>
    <xf numFmtId="0" fontId="20" fillId="0" borderId="50" xfId="2" applyBorder="1" applyAlignment="1">
      <alignment vertical="center"/>
    </xf>
    <xf numFmtId="0" fontId="27" fillId="0" borderId="0" xfId="2" applyFont="1" applyAlignment="1">
      <alignment horizontal="left" vertical="center"/>
    </xf>
    <xf numFmtId="4" fontId="28" fillId="0" borderId="0" xfId="2" applyNumberFormat="1" applyFont="1" applyAlignment="1">
      <alignment vertical="center"/>
    </xf>
    <xf numFmtId="0" fontId="24" fillId="0" borderId="0" xfId="2" applyFont="1" applyAlignment="1">
      <alignment horizontal="right" vertical="center"/>
    </xf>
    <xf numFmtId="0" fontId="29" fillId="0" borderId="0" xfId="2" applyFont="1" applyAlignment="1">
      <alignment horizontal="left" vertical="center"/>
    </xf>
    <xf numFmtId="4" fontId="24" fillId="0" borderId="0" xfId="2" applyNumberFormat="1" applyFont="1" applyAlignment="1">
      <alignment vertical="center"/>
    </xf>
    <xf numFmtId="167" fontId="24" fillId="0" borderId="0" xfId="2" applyNumberFormat="1" applyFont="1" applyAlignment="1">
      <alignment horizontal="right" vertical="center"/>
    </xf>
    <xf numFmtId="0" fontId="20" fillId="7" borderId="0" xfId="2" applyFill="1" applyAlignment="1">
      <alignment vertical="center"/>
    </xf>
    <xf numFmtId="0" fontId="30" fillId="7" borderId="51" xfId="2" applyFont="1" applyFill="1" applyBorder="1" applyAlignment="1">
      <alignment horizontal="left" vertical="center"/>
    </xf>
    <xf numFmtId="0" fontId="20" fillId="7" borderId="52" xfId="2" applyFill="1" applyBorder="1" applyAlignment="1">
      <alignment vertical="center"/>
    </xf>
    <xf numFmtId="0" fontId="30" fillId="7" borderId="52" xfId="2" applyFont="1" applyFill="1" applyBorder="1" applyAlignment="1">
      <alignment horizontal="right" vertical="center"/>
    </xf>
    <xf numFmtId="0" fontId="30" fillId="7" borderId="52" xfId="2" applyFont="1" applyFill="1" applyBorder="1" applyAlignment="1">
      <alignment horizontal="center" vertical="center"/>
    </xf>
    <xf numFmtId="4" fontId="30" fillId="7" borderId="52" xfId="2" applyNumberFormat="1" applyFont="1" applyFill="1" applyBorder="1" applyAlignment="1">
      <alignment vertical="center"/>
    </xf>
    <xf numFmtId="0" fontId="20" fillId="7" borderId="53" xfId="2" applyFill="1" applyBorder="1" applyAlignment="1">
      <alignment vertical="center"/>
    </xf>
    <xf numFmtId="0" fontId="31" fillId="0" borderId="54" xfId="2" applyFont="1" applyBorder="1" applyAlignment="1">
      <alignment horizontal="left" vertical="center"/>
    </xf>
    <xf numFmtId="0" fontId="20" fillId="0" borderId="54" xfId="2" applyBorder="1" applyAlignment="1">
      <alignment vertical="center"/>
    </xf>
    <xf numFmtId="0" fontId="24" fillId="0" borderId="55" xfId="2" applyFont="1" applyBorder="1" applyAlignment="1">
      <alignment horizontal="left" vertical="center"/>
    </xf>
    <xf numFmtId="0" fontId="20" fillId="0" borderId="55" xfId="2" applyBorder="1" applyAlignment="1">
      <alignment vertical="center"/>
    </xf>
    <xf numFmtId="0" fontId="24" fillId="0" borderId="55" xfId="2" applyFont="1" applyBorder="1" applyAlignment="1">
      <alignment horizontal="center" vertical="center"/>
    </xf>
    <xf numFmtId="0" fontId="24" fillId="0" borderId="55" xfId="2" applyFont="1" applyBorder="1" applyAlignment="1">
      <alignment horizontal="right" vertical="center"/>
    </xf>
    <xf numFmtId="0" fontId="20" fillId="0" borderId="56" xfId="2" applyBorder="1" applyAlignment="1">
      <alignment vertical="center"/>
    </xf>
    <xf numFmtId="0" fontId="20" fillId="0" borderId="57" xfId="2" applyBorder="1" applyAlignment="1">
      <alignment vertical="center"/>
    </xf>
    <xf numFmtId="0" fontId="20" fillId="0" borderId="47" xfId="2" applyBorder="1" applyAlignment="1">
      <alignment vertical="center"/>
    </xf>
    <xf numFmtId="0" fontId="20" fillId="0" borderId="48" xfId="2" applyBorder="1" applyAlignment="1">
      <alignment vertical="center"/>
    </xf>
    <xf numFmtId="0" fontId="32" fillId="7" borderId="0" xfId="2" applyFont="1" applyFill="1" applyAlignment="1">
      <alignment horizontal="left" vertical="center"/>
    </xf>
    <xf numFmtId="0" fontId="32" fillId="7" borderId="0" xfId="2" applyFont="1" applyFill="1" applyAlignment="1">
      <alignment horizontal="right" vertical="center"/>
    </xf>
    <xf numFmtId="0" fontId="33" fillId="0" borderId="0" xfId="2" applyFont="1" applyAlignment="1">
      <alignment horizontal="left" vertical="center"/>
    </xf>
    <xf numFmtId="0" fontId="34" fillId="0" borderId="49" xfId="2" applyFont="1" applyBorder="1" applyAlignment="1">
      <alignment vertical="center"/>
    </xf>
    <xf numFmtId="0" fontId="34" fillId="0" borderId="0" xfId="2" applyFont="1" applyAlignment="1">
      <alignment vertical="center"/>
    </xf>
    <xf numFmtId="0" fontId="34" fillId="0" borderId="58" xfId="2" applyFont="1" applyBorder="1" applyAlignment="1">
      <alignment horizontal="left" vertical="center"/>
    </xf>
    <xf numFmtId="0" fontId="34" fillId="0" borderId="58" xfId="2" applyFont="1" applyBorder="1" applyAlignment="1">
      <alignment vertical="center"/>
    </xf>
    <xf numFmtId="4" fontId="34" fillId="0" borderId="58" xfId="2" applyNumberFormat="1" applyFont="1" applyBorder="1" applyAlignment="1">
      <alignment vertical="center"/>
    </xf>
    <xf numFmtId="0" fontId="35" fillId="0" borderId="49" xfId="2" applyFont="1" applyBorder="1" applyAlignment="1">
      <alignment vertical="center"/>
    </xf>
    <xf numFmtId="0" fontId="35" fillId="0" borderId="0" xfId="2" applyFont="1" applyAlignment="1">
      <alignment vertical="center"/>
    </xf>
    <xf numFmtId="0" fontId="35" fillId="0" borderId="58" xfId="2" applyFont="1" applyBorder="1" applyAlignment="1">
      <alignment horizontal="left" vertical="center"/>
    </xf>
    <xf numFmtId="0" fontId="35" fillId="0" borderId="58" xfId="2" applyFont="1" applyBorder="1" applyAlignment="1">
      <alignment vertical="center"/>
    </xf>
    <xf numFmtId="4" fontId="35" fillId="0" borderId="58" xfId="2" applyNumberFormat="1" applyFont="1" applyBorder="1" applyAlignment="1">
      <alignment vertical="center"/>
    </xf>
    <xf numFmtId="0" fontId="20" fillId="0" borderId="49" xfId="2" applyBorder="1" applyAlignment="1">
      <alignment horizontal="center" vertical="center" wrapText="1"/>
    </xf>
    <xf numFmtId="0" fontId="32" fillId="7" borderId="59" xfId="2" applyFont="1" applyFill="1" applyBorder="1" applyAlignment="1">
      <alignment horizontal="center" vertical="center" wrapText="1"/>
    </xf>
    <xf numFmtId="0" fontId="32" fillId="7" borderId="60" xfId="2" applyFont="1" applyFill="1" applyBorder="1" applyAlignment="1">
      <alignment horizontal="center" vertical="center" wrapText="1"/>
    </xf>
    <xf numFmtId="0" fontId="32" fillId="7" borderId="61" xfId="2" applyFont="1" applyFill="1" applyBorder="1" applyAlignment="1">
      <alignment horizontal="center" vertical="center" wrapText="1"/>
    </xf>
    <xf numFmtId="0" fontId="32" fillId="7" borderId="0" xfId="2" applyFont="1" applyFill="1" applyAlignment="1">
      <alignment horizontal="center" vertical="center" wrapText="1"/>
    </xf>
    <xf numFmtId="0" fontId="36" fillId="0" borderId="59" xfId="2" applyFont="1" applyBorder="1" applyAlignment="1">
      <alignment horizontal="center" vertical="center" wrapText="1"/>
    </xf>
    <xf numFmtId="0" fontId="36" fillId="0" borderId="60" xfId="2" applyFont="1" applyBorder="1" applyAlignment="1">
      <alignment horizontal="center" vertical="center" wrapText="1"/>
    </xf>
    <xf numFmtId="0" fontId="36" fillId="0" borderId="61" xfId="2" applyFont="1" applyBorder="1" applyAlignment="1">
      <alignment horizontal="center" vertical="center" wrapText="1"/>
    </xf>
    <xf numFmtId="0" fontId="20" fillId="0" borderId="0" xfId="2" applyAlignment="1">
      <alignment horizontal="center" vertical="center" wrapText="1"/>
    </xf>
    <xf numFmtId="0" fontId="28" fillId="0" borderId="0" xfId="2" applyFont="1" applyAlignment="1">
      <alignment horizontal="left" vertical="center"/>
    </xf>
    <xf numFmtId="4" fontId="28" fillId="0" borderId="0" xfId="2" applyNumberFormat="1" applyFont="1"/>
    <xf numFmtId="0" fontId="20" fillId="0" borderId="62" xfId="2" applyBorder="1" applyAlignment="1">
      <alignment vertical="center"/>
    </xf>
    <xf numFmtId="165" fontId="37" fillId="0" borderId="50" xfId="2" applyNumberFormat="1" applyFont="1" applyBorder="1"/>
    <xf numFmtId="165" fontId="37" fillId="0" borderId="63" xfId="2" applyNumberFormat="1" applyFont="1" applyBorder="1"/>
    <xf numFmtId="4" fontId="38" fillId="0" borderId="0" xfId="2" applyNumberFormat="1" applyFont="1" applyAlignment="1">
      <alignment vertical="center"/>
    </xf>
    <xf numFmtId="0" fontId="39" fillId="0" borderId="49" xfId="2" applyFont="1" applyBorder="1"/>
    <xf numFmtId="0" fontId="39" fillId="0" borderId="0" xfId="2" applyFont="1"/>
    <xf numFmtId="0" fontId="39" fillId="0" borderId="0" xfId="2" applyFont="1" applyAlignment="1">
      <alignment horizontal="left"/>
    </xf>
    <xf numFmtId="0" fontId="34" fillId="0" borderId="0" xfId="2" applyFont="1" applyAlignment="1">
      <alignment horizontal="left"/>
    </xf>
    <xf numFmtId="4" fontId="34" fillId="0" borderId="0" xfId="2" applyNumberFormat="1" applyFont="1"/>
    <xf numFmtId="0" fontId="39" fillId="0" borderId="64" xfId="2" applyFont="1" applyBorder="1"/>
    <xf numFmtId="165" fontId="39" fillId="0" borderId="0" xfId="2" applyNumberFormat="1" applyFont="1"/>
    <xf numFmtId="165" fontId="39" fillId="0" borderId="65" xfId="2" applyNumberFormat="1" applyFont="1" applyBorder="1"/>
    <xf numFmtId="0" fontId="39" fillId="0" borderId="0" xfId="2" applyFont="1" applyAlignment="1">
      <alignment horizontal="center"/>
    </xf>
    <xf numFmtId="4" fontId="39" fillId="0" borderId="0" xfId="2" applyNumberFormat="1" applyFont="1" applyAlignment="1">
      <alignment vertical="center"/>
    </xf>
    <xf numFmtId="0" fontId="35" fillId="0" borderId="0" xfId="2" applyFont="1" applyAlignment="1">
      <alignment horizontal="left"/>
    </xf>
    <xf numFmtId="4" fontId="35" fillId="0" borderId="0" xfId="2" applyNumberFormat="1" applyFont="1"/>
    <xf numFmtId="0" fontId="20" fillId="0" borderId="49" xfId="2" applyBorder="1" applyAlignment="1" applyProtection="1">
      <alignment vertical="center"/>
      <protection locked="0"/>
    </xf>
    <xf numFmtId="0" fontId="32" fillId="0" borderId="66" xfId="2" applyFont="1" applyBorder="1" applyAlignment="1" applyProtection="1">
      <alignment horizontal="center" vertical="center"/>
      <protection locked="0"/>
    </xf>
    <xf numFmtId="49" fontId="32" fillId="0" borderId="66" xfId="2" applyNumberFormat="1" applyFont="1" applyBorder="1" applyAlignment="1" applyProtection="1">
      <alignment horizontal="left" vertical="center" wrapText="1"/>
      <protection locked="0"/>
    </xf>
    <xf numFmtId="0" fontId="32" fillId="0" borderId="66" xfId="2" applyFont="1" applyBorder="1" applyAlignment="1" applyProtection="1">
      <alignment horizontal="left" vertical="center" wrapText="1"/>
      <protection locked="0"/>
    </xf>
    <xf numFmtId="0" fontId="32" fillId="0" borderId="66" xfId="2" applyFont="1" applyBorder="1" applyAlignment="1" applyProtection="1">
      <alignment horizontal="center" vertical="center" wrapText="1"/>
      <protection locked="0"/>
    </xf>
    <xf numFmtId="168" fontId="32" fillId="0" borderId="66" xfId="2" applyNumberFormat="1" applyFont="1" applyBorder="1" applyAlignment="1" applyProtection="1">
      <alignment vertical="center"/>
      <protection locked="0"/>
    </xf>
    <xf numFmtId="4" fontId="32" fillId="0" borderId="66" xfId="2" applyNumberFormat="1" applyFont="1" applyBorder="1" applyAlignment="1" applyProtection="1">
      <alignment vertical="center"/>
      <protection locked="0"/>
    </xf>
    <xf numFmtId="0" fontId="20" fillId="0" borderId="66" xfId="2" applyBorder="1" applyAlignment="1" applyProtection="1">
      <alignment vertical="center"/>
      <protection locked="0"/>
    </xf>
    <xf numFmtId="0" fontId="36" fillId="0" borderId="64" xfId="2" applyFont="1" applyBorder="1" applyAlignment="1">
      <alignment horizontal="left" vertical="center"/>
    </xf>
    <xf numFmtId="0" fontId="36" fillId="0" borderId="0" xfId="2" applyFont="1" applyAlignment="1">
      <alignment horizontal="center" vertical="center"/>
    </xf>
    <xf numFmtId="165" fontId="36" fillId="0" borderId="0" xfId="2" applyNumberFormat="1" applyFont="1" applyAlignment="1">
      <alignment vertical="center"/>
    </xf>
    <xf numFmtId="165" fontId="36" fillId="0" borderId="65" xfId="2" applyNumberFormat="1" applyFont="1" applyBorder="1" applyAlignment="1">
      <alignment vertical="center"/>
    </xf>
    <xf numFmtId="0" fontId="32" fillId="0" borderId="0" xfId="2" applyFont="1" applyAlignment="1">
      <alignment horizontal="left" vertical="center"/>
    </xf>
    <xf numFmtId="4" fontId="20" fillId="0" borderId="0" xfId="2" applyNumberFormat="1" applyAlignment="1">
      <alignment vertical="center"/>
    </xf>
    <xf numFmtId="0" fontId="40" fillId="0" borderId="66" xfId="2" applyFont="1" applyBorder="1" applyAlignment="1" applyProtection="1">
      <alignment horizontal="center" vertical="center"/>
      <protection locked="0"/>
    </xf>
    <xf numFmtId="49" fontId="40" fillId="0" borderId="66" xfId="2" applyNumberFormat="1" applyFont="1" applyBorder="1" applyAlignment="1" applyProtection="1">
      <alignment horizontal="left" vertical="center" wrapText="1"/>
      <protection locked="0"/>
    </xf>
    <xf numFmtId="0" fontId="40" fillId="0" borderId="66" xfId="2" applyFont="1" applyBorder="1" applyAlignment="1" applyProtection="1">
      <alignment horizontal="left" vertical="center" wrapText="1"/>
      <protection locked="0"/>
    </xf>
    <xf numFmtId="0" fontId="40" fillId="0" borderId="66" xfId="2" applyFont="1" applyBorder="1" applyAlignment="1" applyProtection="1">
      <alignment horizontal="center" vertical="center" wrapText="1"/>
      <protection locked="0"/>
    </xf>
    <xf numFmtId="168" fontId="40" fillId="0" borderId="66" xfId="2" applyNumberFormat="1" applyFont="1" applyBorder="1" applyAlignment="1" applyProtection="1">
      <alignment vertical="center"/>
      <protection locked="0"/>
    </xf>
    <xf numFmtId="4" fontId="40" fillId="0" borderId="66" xfId="2" applyNumberFormat="1" applyFont="1" applyBorder="1" applyAlignment="1" applyProtection="1">
      <alignment vertical="center"/>
      <protection locked="0"/>
    </xf>
    <xf numFmtId="0" fontId="41" fillId="0" borderId="66" xfId="2" applyFont="1" applyBorder="1" applyAlignment="1" applyProtection="1">
      <alignment vertical="center"/>
      <protection locked="0"/>
    </xf>
    <xf numFmtId="0" fontId="41" fillId="0" borderId="49" xfId="2" applyFont="1" applyBorder="1" applyAlignment="1">
      <alignment vertical="center"/>
    </xf>
    <xf numFmtId="0" fontId="40" fillId="0" borderId="64" xfId="2" applyFont="1" applyBorder="1" applyAlignment="1">
      <alignment horizontal="left" vertical="center"/>
    </xf>
    <xf numFmtId="0" fontId="40" fillId="0" borderId="0" xfId="2" applyFont="1" applyAlignment="1">
      <alignment horizontal="center" vertical="center"/>
    </xf>
    <xf numFmtId="4" fontId="0" fillId="0" borderId="39" xfId="0" applyNumberFormat="1" applyBorder="1" applyAlignment="1">
      <alignment vertical="center" wrapText="1" shrinkToFit="1"/>
    </xf>
    <xf numFmtId="4" fontId="0" fillId="0" borderId="39" xfId="0" applyNumberFormat="1" applyBorder="1" applyAlignment="1">
      <alignment vertical="center" shrinkToFit="1"/>
    </xf>
    <xf numFmtId="49" fontId="0" fillId="0" borderId="36" xfId="0" applyNumberFormat="1" applyBorder="1" applyAlignment="1">
      <alignment horizontal="left" vertical="center"/>
    </xf>
    <xf numFmtId="49" fontId="7" fillId="0" borderId="36" xfId="0" applyNumberFormat="1" applyFont="1" applyBorder="1" applyAlignment="1">
      <alignment vertical="center"/>
    </xf>
    <xf numFmtId="4" fontId="7" fillId="0" borderId="39" xfId="0" applyNumberFormat="1" applyFont="1" applyBorder="1" applyAlignment="1">
      <alignment horizontal="center" vertical="center"/>
    </xf>
    <xf numFmtId="4" fontId="7" fillId="0" borderId="39" xfId="0" applyNumberFormat="1" applyFont="1" applyBorder="1" applyAlignment="1">
      <alignment vertical="center"/>
    </xf>
    <xf numFmtId="0" fontId="16" fillId="0" borderId="29" xfId="0" applyFont="1" applyBorder="1" applyAlignment="1">
      <alignment vertical="top"/>
    </xf>
    <xf numFmtId="49" fontId="16" fillId="0" borderId="18" xfId="0" applyNumberFormat="1" applyFont="1" applyBorder="1" applyAlignment="1">
      <alignment vertical="top"/>
    </xf>
    <xf numFmtId="49" fontId="16" fillId="0" borderId="18" xfId="0" applyNumberFormat="1" applyFont="1" applyBorder="1" applyAlignment="1">
      <alignment horizontal="left" vertical="top" wrapText="1"/>
    </xf>
    <xf numFmtId="0" fontId="16" fillId="0" borderId="18" xfId="0" applyFont="1" applyBorder="1" applyAlignment="1">
      <alignment horizontal="center" vertical="top" shrinkToFit="1"/>
    </xf>
    <xf numFmtId="165" fontId="16" fillId="0" borderId="18" xfId="0" applyNumberFormat="1" applyFont="1" applyBorder="1" applyAlignment="1">
      <alignment vertical="top" shrinkToFit="1"/>
    </xf>
    <xf numFmtId="4" fontId="16" fillId="4" borderId="18" xfId="0" applyNumberFormat="1" applyFont="1" applyFill="1" applyBorder="1" applyAlignment="1" applyProtection="1">
      <alignment vertical="top" shrinkToFit="1"/>
      <protection locked="0"/>
    </xf>
    <xf numFmtId="4" fontId="16" fillId="0" borderId="18" xfId="0" applyNumberFormat="1" applyFont="1" applyBorder="1" applyAlignment="1">
      <alignment vertical="top" shrinkToFit="1"/>
    </xf>
    <xf numFmtId="4" fontId="16" fillId="0" borderId="40" xfId="0" applyNumberFormat="1" applyFont="1" applyBorder="1" applyAlignment="1">
      <alignment vertical="top" shrinkToFit="1"/>
    </xf>
    <xf numFmtId="0" fontId="3" fillId="2" borderId="0" xfId="0" applyFont="1" applyFill="1" applyAlignment="1">
      <alignment horizontal="left" wrapText="1"/>
    </xf>
    <xf numFmtId="49" fontId="7" fillId="0" borderId="33" xfId="0" applyNumberFormat="1" applyFont="1" applyBorder="1" applyAlignment="1">
      <alignment vertical="center" wrapText="1"/>
    </xf>
    <xf numFmtId="49" fontId="7" fillId="0" borderId="34" xfId="0" applyNumberFormat="1" applyFont="1" applyBorder="1" applyAlignment="1">
      <alignment vertical="center" wrapText="1"/>
    </xf>
    <xf numFmtId="4" fontId="0" fillId="0" borderId="34" xfId="0" applyNumberFormat="1" applyBorder="1" applyAlignment="1">
      <alignment vertical="center" wrapText="1"/>
    </xf>
    <xf numFmtId="4" fontId="8" fillId="0" borderId="34" xfId="0" applyNumberFormat="1" applyFont="1" applyBorder="1" applyAlignment="1">
      <alignment vertical="center" wrapText="1"/>
    </xf>
    <xf numFmtId="4" fontId="0" fillId="3" borderId="36" xfId="0" applyNumberFormat="1" applyFill="1" applyBorder="1" applyAlignment="1">
      <alignment vertical="center"/>
    </xf>
    <xf numFmtId="4" fontId="0" fillId="3" borderId="37" xfId="0" applyNumberFormat="1" applyFill="1" applyBorder="1" applyAlignment="1">
      <alignment vertical="center"/>
    </xf>
    <xf numFmtId="4" fontId="0" fillId="3" borderId="38" xfId="0" applyNumberFormat="1" applyFill="1" applyBorder="1" applyAlignment="1">
      <alignment vertical="center"/>
    </xf>
    <xf numFmtId="4" fontId="0" fillId="0" borderId="37" xfId="0" applyNumberFormat="1"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8" fillId="4" borderId="0" xfId="0" applyFont="1" applyFill="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0" borderId="18" xfId="0" applyFont="1" applyBorder="1" applyAlignment="1">
      <alignment horizontal="left" vertical="center" wrapText="1"/>
    </xf>
    <xf numFmtId="0" fontId="0" fillId="0" borderId="18" xfId="0" applyBorder="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22"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0" fillId="4" borderId="29"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40"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0" xfId="0" applyFill="1" applyAlignment="1" applyProtection="1">
      <alignment horizontal="left" vertical="top" wrapText="1"/>
      <protection locked="0"/>
    </xf>
    <xf numFmtId="0" fontId="0" fillId="4" borderId="27"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28" xfId="0" applyFill="1" applyBorder="1" applyAlignment="1" applyProtection="1">
      <alignment vertical="top" wrapText="1"/>
      <protection locked="0"/>
    </xf>
    <xf numFmtId="0" fontId="17" fillId="0" borderId="18" xfId="0" applyFont="1" applyBorder="1" applyAlignment="1">
      <alignment horizontal="left" vertical="top" wrapText="1"/>
    </xf>
    <xf numFmtId="0" fontId="17" fillId="0" borderId="18" xfId="0" applyFont="1" applyBorder="1" applyAlignment="1">
      <alignment vertical="top" wrapTex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0" borderId="0" xfId="0" applyAlignment="1">
      <alignment vertical="top"/>
    </xf>
    <xf numFmtId="0" fontId="0" fillId="0" borderId="0" xfId="0" applyAlignment="1">
      <alignment horizontal="left" vertical="top" wrapText="1"/>
    </xf>
    <xf numFmtId="0" fontId="25" fillId="0" borderId="0" xfId="2" applyFont="1" applyAlignment="1">
      <alignment horizontal="left" vertical="center" wrapText="1"/>
    </xf>
    <xf numFmtId="0" fontId="20" fillId="0" borderId="0" xfId="2" applyAlignment="1">
      <alignment vertical="center"/>
    </xf>
    <xf numFmtId="0" fontId="24" fillId="0" borderId="0" xfId="2" applyFont="1" applyAlignment="1">
      <alignment horizontal="left" vertical="center" wrapText="1"/>
    </xf>
    <xf numFmtId="0" fontId="24" fillId="0" borderId="0" xfId="2" applyFont="1" applyAlignment="1">
      <alignment horizontal="left" vertical="center"/>
    </xf>
    <xf numFmtId="0" fontId="21" fillId="6" borderId="0" xfId="2" applyFont="1" applyFill="1" applyAlignment="1">
      <alignment horizontal="center" vertical="center"/>
    </xf>
    <xf numFmtId="0" fontId="20" fillId="0" borderId="0" xfId="2"/>
    <xf numFmtId="0" fontId="26" fillId="0" borderId="0" xfId="2" applyFont="1" applyAlignment="1">
      <alignment horizontal="left" vertical="center"/>
    </xf>
    <xf numFmtId="0" fontId="26" fillId="0" borderId="0" xfId="2" applyFont="1" applyAlignment="1">
      <alignment horizontal="left" vertical="center" wrapText="1"/>
    </xf>
  </cellXfs>
  <cellStyles count="3">
    <cellStyle name="Normální" xfId="0" builtinId="0"/>
    <cellStyle name="normální 2" xfId="1" xr:uid="{00000000-0005-0000-0000-000001000000}"/>
    <cellStyle name="Normální 3" xfId="2" xr:uid="{E82DB3FE-6420-4C5C-9068-0EEECB58E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63AA964A-8720-456B-8EF3-BB30DFD6822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7BE02482-2715-41CC-B4B9-AF0FC51ECF9F}"/>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15701de3203722a/Plocha/Pr&#225;ce/Marek%20evidence%20DTC/p&#367;vodn&#237;/Rozpo&#269;et%20evidence%20DTC%203.11%5e.xlsx" TargetMode="External"/><Relationship Id="rId1" Type="http://schemas.openxmlformats.org/officeDocument/2006/relationships/externalLinkPath" Target="https://d.docs.live.net/515701de3203722a/Plocha/Pr&#225;ce/Marek%20evidence%20DTC/p&#367;vodn&#237;/Rozpo&#269;et%20evidence%20DTC%203.11%5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515701de3203722a/Plocha/Pr&#225;ce/Marek%20evidence%20DTC/rozpo&#269;et.xlsx" TargetMode="External"/><Relationship Id="rId1" Type="http://schemas.openxmlformats.org/officeDocument/2006/relationships/externalLinkPath" Target="https://d.docs.live.net/515701de3203722a/Plocha/Pr&#225;ce/Marek%20evidence%20DTC/p&#367;vodn&#237;/rozpo&#269;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pro vyplnění"/>
      <sheetName val="Stavba"/>
      <sheetName val="VzorPolozky"/>
      <sheetName val="01 VRN"/>
      <sheetName val="02 Stavební"/>
      <sheetName val="03 - Silnoproud"/>
      <sheetName val="04 - TPS - Elektronické k..."/>
    </sheetNames>
    <sheetDataSet>
      <sheetData sheetId="0"/>
      <sheetData sheetId="1">
        <row r="23">
          <cell r="G23">
            <v>0</v>
          </cell>
        </row>
        <row r="24">
          <cell r="G24">
            <v>0</v>
          </cell>
        </row>
        <row r="25">
          <cell r="G25">
            <v>385519.58000000013</v>
          </cell>
        </row>
        <row r="26">
          <cell r="G26">
            <v>80959.111800000028</v>
          </cell>
        </row>
        <row r="29">
          <cell r="G29">
            <v>466478.69180000015</v>
          </cell>
          <cell r="J29" t="str">
            <v>CZK</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itulace stavby"/>
      <sheetName val="1. - TPS - Silnoproud"/>
      <sheetName val="2. - TPS - Elektronické k..."/>
    </sheetNames>
    <sheetDataSet>
      <sheetData sheetId="0">
        <row r="6">
          <cell r="K6" t="str">
            <v>FN Bohunice-úprava evidence DTC</v>
          </cell>
        </row>
        <row r="8">
          <cell r="AN8" t="str">
            <v>25. 10. 2025</v>
          </cell>
        </row>
        <row r="10">
          <cell r="AN10" t="str">
            <v/>
          </cell>
        </row>
        <row r="11">
          <cell r="E11" t="str">
            <v xml:space="preserve"> </v>
          </cell>
          <cell r="AN11" t="str">
            <v/>
          </cell>
        </row>
        <row r="13">
          <cell r="AN13" t="str">
            <v/>
          </cell>
        </row>
        <row r="14">
          <cell r="E14" t="str">
            <v xml:space="preserve"> </v>
          </cell>
          <cell r="AN14" t="str">
            <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40</v>
      </c>
    </row>
    <row r="2" spans="1:7" ht="57.75" customHeight="1" x14ac:dyDescent="0.2">
      <c r="A2" s="306" t="s">
        <v>41</v>
      </c>
      <c r="B2" s="306"/>
      <c r="C2" s="306"/>
      <c r="D2" s="306"/>
      <c r="E2" s="306"/>
      <c r="F2" s="306"/>
      <c r="G2" s="306"/>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75"/>
  <sheetViews>
    <sheetView showGridLines="0" topLeftCell="B26" zoomScaleNormal="100" zoomScaleSheetLayoutView="75" workbookViewId="0">
      <selection activeCell="M6" sqref="M6"/>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38</v>
      </c>
      <c r="B1" s="342" t="s">
        <v>4</v>
      </c>
      <c r="C1" s="343"/>
      <c r="D1" s="343"/>
      <c r="E1" s="343"/>
      <c r="F1" s="343"/>
      <c r="G1" s="343"/>
      <c r="H1" s="343"/>
      <c r="I1" s="343"/>
      <c r="J1" s="344"/>
    </row>
    <row r="2" spans="1:15" ht="36" customHeight="1" x14ac:dyDescent="0.2">
      <c r="A2" s="2"/>
      <c r="B2" s="76" t="s">
        <v>24</v>
      </c>
      <c r="C2" s="77"/>
      <c r="D2" s="78" t="s">
        <v>43</v>
      </c>
      <c r="E2" s="348" t="s">
        <v>44</v>
      </c>
      <c r="F2" s="349"/>
      <c r="G2" s="349"/>
      <c r="H2" s="349"/>
      <c r="I2" s="349"/>
      <c r="J2" s="350"/>
      <c r="O2" s="1"/>
    </row>
    <row r="3" spans="1:15" ht="21.75" customHeight="1" x14ac:dyDescent="0.2">
      <c r="A3" s="2"/>
      <c r="B3" s="79"/>
      <c r="C3" s="77"/>
      <c r="D3" s="80"/>
      <c r="E3" s="351" t="s">
        <v>578</v>
      </c>
      <c r="F3" s="352"/>
      <c r="G3" s="352"/>
      <c r="H3" s="352"/>
      <c r="I3" s="352"/>
      <c r="J3" s="353"/>
    </row>
    <row r="4" spans="1:15" ht="23.25" customHeight="1" x14ac:dyDescent="0.2">
      <c r="A4" s="2"/>
      <c r="B4" s="81"/>
      <c r="C4" s="82"/>
      <c r="D4" s="83"/>
      <c r="E4" s="332" t="s">
        <v>579</v>
      </c>
      <c r="F4" s="332"/>
      <c r="G4" s="332"/>
      <c r="H4" s="332"/>
      <c r="I4" s="332"/>
      <c r="J4" s="333"/>
    </row>
    <row r="5" spans="1:15" ht="24" customHeight="1" x14ac:dyDescent="0.2">
      <c r="A5" s="2"/>
      <c r="B5" s="31" t="s">
        <v>23</v>
      </c>
      <c r="D5" s="336"/>
      <c r="E5" s="337"/>
      <c r="F5" s="337"/>
      <c r="G5" s="337"/>
      <c r="H5" s="18" t="s">
        <v>42</v>
      </c>
      <c r="I5" s="22"/>
      <c r="J5" s="8"/>
    </row>
    <row r="6" spans="1:15" ht="15.75" customHeight="1" x14ac:dyDescent="0.2">
      <c r="A6" s="2"/>
      <c r="B6" s="28"/>
      <c r="C6" s="55"/>
      <c r="D6" s="338"/>
      <c r="E6" s="339"/>
      <c r="F6" s="339"/>
      <c r="G6" s="339"/>
      <c r="H6" s="18" t="s">
        <v>36</v>
      </c>
      <c r="I6" s="22"/>
      <c r="J6" s="8"/>
    </row>
    <row r="7" spans="1:15" ht="15.75" customHeight="1" x14ac:dyDescent="0.2">
      <c r="A7" s="2"/>
      <c r="B7" s="29"/>
      <c r="C7" s="56"/>
      <c r="D7" s="53"/>
      <c r="E7" s="340"/>
      <c r="F7" s="341"/>
      <c r="G7" s="341"/>
      <c r="H7" s="24"/>
      <c r="I7" s="23"/>
      <c r="J7" s="34"/>
    </row>
    <row r="8" spans="1:15" ht="24" hidden="1" customHeight="1" x14ac:dyDescent="0.2">
      <c r="A8" s="2"/>
      <c r="B8" s="31" t="s">
        <v>21</v>
      </c>
      <c r="D8" s="51"/>
      <c r="H8" s="18" t="s">
        <v>42</v>
      </c>
      <c r="I8" s="22"/>
      <c r="J8" s="8"/>
    </row>
    <row r="9" spans="1:15" ht="15.75" hidden="1" customHeight="1" x14ac:dyDescent="0.2">
      <c r="A9" s="2"/>
      <c r="B9" s="2"/>
      <c r="D9" s="51"/>
      <c r="H9" s="18" t="s">
        <v>36</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20</v>
      </c>
      <c r="D11" s="355"/>
      <c r="E11" s="355"/>
      <c r="F11" s="355"/>
      <c r="G11" s="355"/>
      <c r="H11" s="18" t="s">
        <v>42</v>
      </c>
      <c r="I11" s="84"/>
      <c r="J11" s="8"/>
    </row>
    <row r="12" spans="1:15" ht="15.75" customHeight="1" x14ac:dyDescent="0.2">
      <c r="A12" s="2"/>
      <c r="B12" s="28"/>
      <c r="C12" s="55"/>
      <c r="D12" s="331"/>
      <c r="E12" s="331"/>
      <c r="F12" s="331"/>
      <c r="G12" s="331"/>
      <c r="H12" s="18" t="s">
        <v>36</v>
      </c>
      <c r="I12" s="84"/>
      <c r="J12" s="8"/>
    </row>
    <row r="13" spans="1:15" ht="15.75" customHeight="1" x14ac:dyDescent="0.2">
      <c r="A13" s="2"/>
      <c r="B13" s="29"/>
      <c r="C13" s="56"/>
      <c r="D13" s="85"/>
      <c r="E13" s="334"/>
      <c r="F13" s="335"/>
      <c r="G13" s="335"/>
      <c r="H13" s="19"/>
      <c r="I13" s="23"/>
      <c r="J13" s="34"/>
    </row>
    <row r="14" spans="1:15" ht="24" customHeight="1" x14ac:dyDescent="0.2">
      <c r="A14" s="2"/>
      <c r="B14" s="43" t="s">
        <v>22</v>
      </c>
      <c r="C14" s="58"/>
      <c r="D14" s="59"/>
      <c r="E14" s="60"/>
      <c r="F14" s="44"/>
      <c r="G14" s="44"/>
      <c r="H14" s="45"/>
      <c r="I14" s="44"/>
      <c r="J14" s="46"/>
    </row>
    <row r="15" spans="1:15" ht="32.25" customHeight="1" x14ac:dyDescent="0.2">
      <c r="A15" s="2"/>
      <c r="B15" s="35" t="s">
        <v>34</v>
      </c>
      <c r="C15" s="61"/>
      <c r="D15" s="54"/>
      <c r="E15" s="354"/>
      <c r="F15" s="354"/>
      <c r="G15" s="356"/>
      <c r="H15" s="356"/>
      <c r="I15" s="356" t="s">
        <v>31</v>
      </c>
      <c r="J15" s="357"/>
    </row>
    <row r="16" spans="1:15" ht="23.25" customHeight="1" x14ac:dyDescent="0.2">
      <c r="A16" s="138" t="s">
        <v>26</v>
      </c>
      <c r="B16" s="38" t="s">
        <v>26</v>
      </c>
      <c r="C16" s="62"/>
      <c r="D16" s="63"/>
      <c r="E16" s="320"/>
      <c r="F16" s="321"/>
      <c r="G16" s="320"/>
      <c r="H16" s="321"/>
      <c r="I16" s="320">
        <f>SUMIF(F56:F71,A16,I56:I71)+SUMIF(F56:F71,"PSU",I56:I71)</f>
        <v>0</v>
      </c>
      <c r="J16" s="322"/>
    </row>
    <row r="17" spans="1:10" ht="23.25" customHeight="1" x14ac:dyDescent="0.2">
      <c r="A17" s="138" t="s">
        <v>27</v>
      </c>
      <c r="B17" s="38" t="s">
        <v>27</v>
      </c>
      <c r="C17" s="62"/>
      <c r="D17" s="63"/>
      <c r="E17" s="320"/>
      <c r="F17" s="321"/>
      <c r="G17" s="320"/>
      <c r="H17" s="321"/>
      <c r="I17" s="320">
        <f>SUMIF(F56:F71,A17,I56:I71)</f>
        <v>0</v>
      </c>
      <c r="J17" s="322"/>
    </row>
    <row r="18" spans="1:10" ht="23.25" customHeight="1" x14ac:dyDescent="0.2">
      <c r="A18" s="138" t="s">
        <v>28</v>
      </c>
      <c r="B18" s="38" t="s">
        <v>28</v>
      </c>
      <c r="C18" s="62"/>
      <c r="D18" s="63"/>
      <c r="E18" s="320"/>
      <c r="F18" s="321"/>
      <c r="G18" s="320"/>
      <c r="H18" s="321"/>
      <c r="I18" s="320">
        <f>SUMIF(F56:F71,A18,I56:I71)</f>
        <v>0</v>
      </c>
      <c r="J18" s="322"/>
    </row>
    <row r="19" spans="1:10" ht="23.25" customHeight="1" x14ac:dyDescent="0.2">
      <c r="A19" s="138" t="s">
        <v>87</v>
      </c>
      <c r="B19" s="38" t="s">
        <v>29</v>
      </c>
      <c r="C19" s="62"/>
      <c r="D19" s="63"/>
      <c r="E19" s="320"/>
      <c r="F19" s="321"/>
      <c r="G19" s="320"/>
      <c r="H19" s="321"/>
      <c r="I19" s="320">
        <f>SUMIF(F56:F71,A19,I56:I71)</f>
        <v>0</v>
      </c>
      <c r="J19" s="322"/>
    </row>
    <row r="20" spans="1:10" ht="23.25" customHeight="1" x14ac:dyDescent="0.2">
      <c r="A20" s="138" t="s">
        <v>88</v>
      </c>
      <c r="B20" s="38" t="s">
        <v>30</v>
      </c>
      <c r="C20" s="62"/>
      <c r="D20" s="63"/>
      <c r="E20" s="320"/>
      <c r="F20" s="321"/>
      <c r="G20" s="320"/>
      <c r="H20" s="321"/>
      <c r="I20" s="320">
        <f>SUMIF(F56:F71,A20,I56:I71)</f>
        <v>0</v>
      </c>
      <c r="J20" s="322"/>
    </row>
    <row r="21" spans="1:10" ht="23.25" customHeight="1" x14ac:dyDescent="0.2">
      <c r="A21" s="2"/>
      <c r="B21" s="48" t="s">
        <v>31</v>
      </c>
      <c r="C21" s="64"/>
      <c r="D21" s="65"/>
      <c r="E21" s="323"/>
      <c r="F21" s="358"/>
      <c r="G21" s="323"/>
      <c r="H21" s="358"/>
      <c r="I21" s="323">
        <f>SUM(I16:J20)</f>
        <v>0</v>
      </c>
      <c r="J21" s="324"/>
    </row>
    <row r="22" spans="1:10" ht="33" customHeight="1" x14ac:dyDescent="0.2">
      <c r="A22" s="2"/>
      <c r="B22" s="42" t="s">
        <v>35</v>
      </c>
      <c r="C22" s="62"/>
      <c r="D22" s="63"/>
      <c r="E22" s="66"/>
      <c r="F22" s="39"/>
      <c r="G22" s="33"/>
      <c r="H22" s="33"/>
      <c r="I22" s="33"/>
      <c r="J22" s="40"/>
    </row>
    <row r="23" spans="1:10" ht="23.25" customHeight="1" x14ac:dyDescent="0.2">
      <c r="A23" s="2">
        <f>ZakladDPHSni*SazbaDPH1/100</f>
        <v>0</v>
      </c>
      <c r="B23" s="38" t="s">
        <v>13</v>
      </c>
      <c r="C23" s="62"/>
      <c r="D23" s="63"/>
      <c r="E23" s="67">
        <v>12</v>
      </c>
      <c r="F23" s="39" t="s">
        <v>0</v>
      </c>
      <c r="G23" s="318">
        <f>ZakladDPHSniVypocet</f>
        <v>0</v>
      </c>
      <c r="H23" s="319"/>
      <c r="I23" s="319"/>
      <c r="J23" s="40" t="str">
        <f t="shared" ref="J23:J28" si="0">Mena</f>
        <v>CZK</v>
      </c>
    </row>
    <row r="24" spans="1:10" ht="23.25" customHeight="1" x14ac:dyDescent="0.2">
      <c r="A24" s="2">
        <f>(A23-INT(A23))*100</f>
        <v>0</v>
      </c>
      <c r="B24" s="38" t="s">
        <v>14</v>
      </c>
      <c r="C24" s="62"/>
      <c r="D24" s="63"/>
      <c r="E24" s="67">
        <f>SazbaDPH1</f>
        <v>12</v>
      </c>
      <c r="F24" s="39" t="s">
        <v>0</v>
      </c>
      <c r="G24" s="316">
        <f>A23</f>
        <v>0</v>
      </c>
      <c r="H24" s="317"/>
      <c r="I24" s="317"/>
      <c r="J24" s="40" t="str">
        <f t="shared" si="0"/>
        <v>CZK</v>
      </c>
    </row>
    <row r="25" spans="1:10" ht="23.25" customHeight="1" x14ac:dyDescent="0.2">
      <c r="A25" s="2">
        <f>ZakladDPHZakl*SazbaDPH2/100</f>
        <v>0</v>
      </c>
      <c r="B25" s="38" t="s">
        <v>15</v>
      </c>
      <c r="C25" s="62"/>
      <c r="D25" s="63"/>
      <c r="E25" s="67">
        <v>21</v>
      </c>
      <c r="F25" s="39" t="s">
        <v>0</v>
      </c>
      <c r="G25" s="318">
        <f>ZakladDPHZaklVypocet</f>
        <v>0</v>
      </c>
      <c r="H25" s="319"/>
      <c r="I25" s="319"/>
      <c r="J25" s="40" t="str">
        <f t="shared" si="0"/>
        <v>CZK</v>
      </c>
    </row>
    <row r="26" spans="1:10" ht="23.25" customHeight="1" x14ac:dyDescent="0.2">
      <c r="A26" s="2">
        <f>(A25-INT(A25))*100</f>
        <v>0</v>
      </c>
      <c r="B26" s="32" t="s">
        <v>16</v>
      </c>
      <c r="C26" s="68"/>
      <c r="D26" s="54"/>
      <c r="E26" s="69">
        <f>SazbaDPH2</f>
        <v>21</v>
      </c>
      <c r="F26" s="30" t="s">
        <v>0</v>
      </c>
      <c r="G26" s="345">
        <f>A25</f>
        <v>0</v>
      </c>
      <c r="H26" s="346"/>
      <c r="I26" s="346"/>
      <c r="J26" s="37" t="str">
        <f t="shared" si="0"/>
        <v>CZK</v>
      </c>
    </row>
    <row r="27" spans="1:10" ht="23.25" customHeight="1" thickBot="1" x14ac:dyDescent="0.25">
      <c r="A27" s="2">
        <f>ZakladDPHSni+DPHSni+ZakladDPHZakl+DPHZakl</f>
        <v>0</v>
      </c>
      <c r="B27" s="31" t="s">
        <v>5</v>
      </c>
      <c r="C27" s="70"/>
      <c r="D27" s="71"/>
      <c r="E27" s="70"/>
      <c r="F27" s="16"/>
      <c r="G27" s="347">
        <f>CenaCelkem-(ZakladDPHSni+DPHSni+ZakladDPHZakl+DPHZakl)</f>
        <v>0</v>
      </c>
      <c r="H27" s="347"/>
      <c r="I27" s="347"/>
      <c r="J27" s="41" t="str">
        <f t="shared" si="0"/>
        <v>CZK</v>
      </c>
    </row>
    <row r="28" spans="1:10" ht="27.75" hidden="1" customHeight="1" thickBot="1" x14ac:dyDescent="0.25">
      <c r="A28" s="2"/>
      <c r="B28" s="111" t="s">
        <v>25</v>
      </c>
      <c r="C28" s="112"/>
      <c r="D28" s="112"/>
      <c r="E28" s="113"/>
      <c r="F28" s="114"/>
      <c r="G28" s="325">
        <f>ZakladDPHSniVypocet+ZakladDPHZaklVypocet</f>
        <v>0</v>
      </c>
      <c r="H28" s="326"/>
      <c r="I28" s="326"/>
      <c r="J28" s="115" t="str">
        <f t="shared" si="0"/>
        <v>CZK</v>
      </c>
    </row>
    <row r="29" spans="1:10" ht="27.75" customHeight="1" thickBot="1" x14ac:dyDescent="0.25">
      <c r="A29" s="2">
        <f>(A27-INT(A27))*100</f>
        <v>0</v>
      </c>
      <c r="B29" s="111" t="s">
        <v>37</v>
      </c>
      <c r="C29" s="116"/>
      <c r="D29" s="116"/>
      <c r="E29" s="116"/>
      <c r="F29" s="117"/>
      <c r="G29" s="325">
        <f>A27</f>
        <v>0</v>
      </c>
      <c r="H29" s="325"/>
      <c r="I29" s="325"/>
      <c r="J29" s="118" t="s">
        <v>52</v>
      </c>
    </row>
    <row r="30" spans="1:10" ht="12.75" customHeight="1" x14ac:dyDescent="0.2">
      <c r="A30" s="2"/>
      <c r="B30" s="2"/>
      <c r="J30" s="9"/>
    </row>
    <row r="31" spans="1:10" ht="30" customHeight="1" x14ac:dyDescent="0.2">
      <c r="A31" s="2"/>
      <c r="B31" s="2"/>
      <c r="J31" s="9"/>
    </row>
    <row r="32" spans="1:10" ht="18.75" customHeight="1" x14ac:dyDescent="0.2">
      <c r="A32" s="2"/>
      <c r="B32" s="17"/>
      <c r="C32" s="72" t="s">
        <v>12</v>
      </c>
      <c r="D32" s="73"/>
      <c r="E32" s="73"/>
      <c r="F32" s="15" t="s">
        <v>11</v>
      </c>
      <c r="G32" s="26"/>
      <c r="H32" s="27"/>
      <c r="I32" s="26"/>
      <c r="J32" s="9"/>
    </row>
    <row r="33" spans="1:10" ht="47.25" customHeight="1" x14ac:dyDescent="0.2">
      <c r="A33" s="2"/>
      <c r="B33" s="2"/>
      <c r="J33" s="9"/>
    </row>
    <row r="34" spans="1:10" s="21" customFormat="1" ht="18.75" customHeight="1" x14ac:dyDescent="0.2">
      <c r="A34" s="20"/>
      <c r="B34" s="20"/>
      <c r="C34" s="74"/>
      <c r="D34" s="327"/>
      <c r="E34" s="328"/>
      <c r="G34" s="329"/>
      <c r="H34" s="330"/>
      <c r="I34" s="330"/>
      <c r="J34" s="25"/>
    </row>
    <row r="35" spans="1:10" ht="12.75" customHeight="1" x14ac:dyDescent="0.2">
      <c r="A35" s="2"/>
      <c r="B35" s="2"/>
      <c r="D35" s="315" t="s">
        <v>2</v>
      </c>
      <c r="E35" s="315"/>
      <c r="H35" s="10" t="s">
        <v>3</v>
      </c>
      <c r="J35" s="9"/>
    </row>
    <row r="36" spans="1:10" ht="13.5" customHeight="1" thickBot="1" x14ac:dyDescent="0.25">
      <c r="A36" s="11"/>
      <c r="B36" s="11"/>
      <c r="C36" s="75"/>
      <c r="D36" s="75"/>
      <c r="E36" s="75"/>
      <c r="F36" s="12"/>
      <c r="G36" s="12"/>
      <c r="H36" s="12"/>
      <c r="I36" s="12"/>
      <c r="J36" s="13"/>
    </row>
    <row r="37" spans="1:10" ht="27" customHeight="1" x14ac:dyDescent="0.2">
      <c r="B37" s="88" t="s">
        <v>17</v>
      </c>
      <c r="C37" s="89"/>
      <c r="D37" s="89"/>
      <c r="E37" s="89"/>
      <c r="F37" s="90"/>
      <c r="G37" s="90"/>
      <c r="H37" s="90"/>
      <c r="I37" s="90"/>
      <c r="J37" s="91"/>
    </row>
    <row r="38" spans="1:10" ht="25.5" customHeight="1" x14ac:dyDescent="0.2">
      <c r="A38" s="87" t="s">
        <v>39</v>
      </c>
      <c r="B38" s="92" t="s">
        <v>18</v>
      </c>
      <c r="C38" s="93" t="s">
        <v>6</v>
      </c>
      <c r="D38" s="93"/>
      <c r="E38" s="93"/>
      <c r="F38" s="94" t="str">
        <f>B23</f>
        <v>Základ pro sníženou DPH</v>
      </c>
      <c r="G38" s="94" t="str">
        <f>B25</f>
        <v>Základ pro základní DPH</v>
      </c>
      <c r="H38" s="95" t="s">
        <v>19</v>
      </c>
      <c r="I38" s="95" t="s">
        <v>1</v>
      </c>
      <c r="J38" s="96" t="s">
        <v>0</v>
      </c>
    </row>
    <row r="39" spans="1:10" ht="25.5" hidden="1" customHeight="1" x14ac:dyDescent="0.2">
      <c r="A39" s="87">
        <v>1</v>
      </c>
      <c r="B39" s="97" t="s">
        <v>45</v>
      </c>
      <c r="C39" s="309"/>
      <c r="D39" s="309"/>
      <c r="E39" s="309"/>
      <c r="F39" s="98">
        <f>'01 VRN'!AE17+'02 Stavební'!AE103</f>
        <v>0</v>
      </c>
      <c r="G39" s="99">
        <f>'01 VRN'!AF17+'02 Stavební'!AF103</f>
        <v>0</v>
      </c>
      <c r="H39" s="100">
        <f t="shared" ref="H39:H44" si="1">(F39*SazbaDPH1/100)+(G39*SazbaDPH2/100)</f>
        <v>0</v>
      </c>
      <c r="I39" s="100">
        <f>F39+G39+H39</f>
        <v>0</v>
      </c>
      <c r="J39" s="101" t="str">
        <f t="shared" ref="J39:J44" si="2">IF(_xlfn.SINGLE(CenaCelkemVypocet)=0,"",I39/_xlfn.SINGLE(CenaCelkemVypocet)*100)</f>
        <v/>
      </c>
    </row>
    <row r="40" spans="1:10" ht="25.5" customHeight="1" x14ac:dyDescent="0.2">
      <c r="A40" s="87">
        <v>2</v>
      </c>
      <c r="B40" s="102" t="s">
        <v>46</v>
      </c>
      <c r="C40" s="310" t="s">
        <v>47</v>
      </c>
      <c r="D40" s="310"/>
      <c r="E40" s="310"/>
      <c r="F40" s="103"/>
      <c r="G40" s="104">
        <f>SUM(ZakladDPHZaklVypocet)</f>
        <v>0</v>
      </c>
      <c r="H40" s="104">
        <f t="shared" si="1"/>
        <v>0</v>
      </c>
      <c r="I40" s="104">
        <f>F40+G40+H40</f>
        <v>0</v>
      </c>
      <c r="J40" s="105" t="str">
        <f t="shared" si="2"/>
        <v/>
      </c>
    </row>
    <row r="41" spans="1:10" ht="25.5" customHeight="1" x14ac:dyDescent="0.2">
      <c r="A41" s="87">
        <v>3</v>
      </c>
      <c r="B41" s="106" t="s">
        <v>48</v>
      </c>
      <c r="C41" s="309" t="s">
        <v>49</v>
      </c>
      <c r="D41" s="309"/>
      <c r="E41" s="309"/>
      <c r="F41" s="107"/>
      <c r="G41" s="100">
        <f>'01 VRN'!AF17</f>
        <v>0</v>
      </c>
      <c r="H41" s="100">
        <f t="shared" si="1"/>
        <v>0</v>
      </c>
      <c r="I41" s="100">
        <f>F41+G41+H41</f>
        <v>0</v>
      </c>
      <c r="J41" s="101" t="str">
        <f t="shared" si="2"/>
        <v/>
      </c>
    </row>
    <row r="42" spans="1:10" ht="25.5" customHeight="1" x14ac:dyDescent="0.2">
      <c r="A42" s="87">
        <v>3</v>
      </c>
      <c r="B42" s="294" t="s">
        <v>577</v>
      </c>
      <c r="C42" s="309" t="s">
        <v>50</v>
      </c>
      <c r="D42" s="309"/>
      <c r="E42" s="309"/>
      <c r="F42" s="107"/>
      <c r="G42" s="100">
        <f>'02 Stavební'!AF103</f>
        <v>0</v>
      </c>
      <c r="H42" s="100">
        <f t="shared" si="1"/>
        <v>0</v>
      </c>
      <c r="I42" s="100">
        <f>F42+G42+H42</f>
        <v>0</v>
      </c>
      <c r="J42" s="101" t="str">
        <f t="shared" si="2"/>
        <v/>
      </c>
    </row>
    <row r="43" spans="1:10" ht="25.5" customHeight="1" x14ac:dyDescent="0.2">
      <c r="A43" s="87"/>
      <c r="B43" s="294" t="s">
        <v>567</v>
      </c>
      <c r="C43" s="314" t="s">
        <v>568</v>
      </c>
      <c r="D43" s="314"/>
      <c r="E43" s="314"/>
      <c r="F43" s="292"/>
      <c r="G43" s="293">
        <f>SUM('03 - Silnoproud'!J96)</f>
        <v>0</v>
      </c>
      <c r="H43" s="100">
        <f t="shared" si="1"/>
        <v>0</v>
      </c>
      <c r="I43" s="100">
        <f t="shared" ref="I43:I44" si="3">F43+G43+H43</f>
        <v>0</v>
      </c>
      <c r="J43" s="101" t="str">
        <f t="shared" si="2"/>
        <v/>
      </c>
    </row>
    <row r="44" spans="1:10" ht="25.5" customHeight="1" x14ac:dyDescent="0.2">
      <c r="A44" s="87"/>
      <c r="B44" s="294" t="s">
        <v>569</v>
      </c>
      <c r="C44" s="314" t="s">
        <v>570</v>
      </c>
      <c r="D44" s="314"/>
      <c r="E44" s="314"/>
      <c r="F44" s="292"/>
      <c r="G44" s="293">
        <f>SUM('04 - TPS - Elektronické k...'!J123)</f>
        <v>0</v>
      </c>
      <c r="H44" s="100">
        <f t="shared" si="1"/>
        <v>0</v>
      </c>
      <c r="I44" s="100">
        <f t="shared" si="3"/>
        <v>0</v>
      </c>
      <c r="J44" s="101" t="str">
        <f t="shared" si="2"/>
        <v/>
      </c>
    </row>
    <row r="45" spans="1:10" ht="25.5" customHeight="1" x14ac:dyDescent="0.2">
      <c r="A45" s="87"/>
      <c r="B45" s="311" t="s">
        <v>51</v>
      </c>
      <c r="C45" s="312"/>
      <c r="D45" s="312"/>
      <c r="E45" s="313"/>
      <c r="F45" s="108"/>
      <c r="G45" s="109">
        <f>SUM(G41:G44)</f>
        <v>0</v>
      </c>
      <c r="H45" s="109">
        <f>SUM(H41:H44)</f>
        <v>0</v>
      </c>
      <c r="I45" s="109">
        <f>SUM(I41:I44)</f>
        <v>0</v>
      </c>
      <c r="J45" s="110">
        <f>SUM(J41:J44)</f>
        <v>0</v>
      </c>
    </row>
    <row r="47" spans="1:10" x14ac:dyDescent="0.2">
      <c r="A47" t="s">
        <v>53</v>
      </c>
      <c r="B47" t="s">
        <v>54</v>
      </c>
    </row>
    <row r="48" spans="1:10" x14ac:dyDescent="0.2">
      <c r="A48" t="s">
        <v>55</v>
      </c>
      <c r="B48" t="s">
        <v>56</v>
      </c>
    </row>
    <row r="49" spans="1:10" x14ac:dyDescent="0.2">
      <c r="A49" t="s">
        <v>57</v>
      </c>
      <c r="B49" t="s">
        <v>58</v>
      </c>
    </row>
    <row r="50" spans="1:10" x14ac:dyDescent="0.2">
      <c r="A50" t="s">
        <v>57</v>
      </c>
      <c r="B50" t="s">
        <v>59</v>
      </c>
    </row>
    <row r="53" spans="1:10" ht="15.75" x14ac:dyDescent="0.25">
      <c r="B53" s="119" t="s">
        <v>60</v>
      </c>
    </row>
    <row r="55" spans="1:10" ht="25.5" customHeight="1" x14ac:dyDescent="0.2">
      <c r="A55" s="121"/>
      <c r="B55" s="124" t="s">
        <v>18</v>
      </c>
      <c r="C55" s="124" t="s">
        <v>6</v>
      </c>
      <c r="D55" s="125"/>
      <c r="E55" s="125"/>
      <c r="F55" s="126" t="s">
        <v>61</v>
      </c>
      <c r="G55" s="126"/>
      <c r="H55" s="126"/>
      <c r="I55" s="126" t="s">
        <v>31</v>
      </c>
      <c r="J55" s="126" t="s">
        <v>0</v>
      </c>
    </row>
    <row r="56" spans="1:10" ht="36.75" customHeight="1" x14ac:dyDescent="0.2">
      <c r="A56" s="122"/>
      <c r="B56" s="127" t="s">
        <v>62</v>
      </c>
      <c r="C56" s="307" t="s">
        <v>63</v>
      </c>
      <c r="D56" s="308"/>
      <c r="E56" s="308"/>
      <c r="F56" s="136" t="s">
        <v>26</v>
      </c>
      <c r="G56" s="128"/>
      <c r="H56" s="128"/>
      <c r="I56" s="128">
        <f>'02 Stavební'!G8</f>
        <v>0</v>
      </c>
      <c r="J56" s="133" t="str">
        <f>IF(I72=0,"",I56/I72*100)</f>
        <v/>
      </c>
    </row>
    <row r="57" spans="1:10" ht="36.75" customHeight="1" x14ac:dyDescent="0.2">
      <c r="A57" s="122"/>
      <c r="B57" s="127" t="s">
        <v>64</v>
      </c>
      <c r="C57" s="307" t="s">
        <v>65</v>
      </c>
      <c r="D57" s="308"/>
      <c r="E57" s="308"/>
      <c r="F57" s="136" t="s">
        <v>26</v>
      </c>
      <c r="G57" s="128"/>
      <c r="H57" s="128"/>
      <c r="I57" s="128">
        <f>'02 Stavební'!G19</f>
        <v>0</v>
      </c>
      <c r="J57" s="133" t="str">
        <f>IF(I72=0,"",I57/I72*100)</f>
        <v/>
      </c>
    </row>
    <row r="58" spans="1:10" ht="36.75" customHeight="1" x14ac:dyDescent="0.2">
      <c r="A58" s="122"/>
      <c r="B58" s="127" t="s">
        <v>66</v>
      </c>
      <c r="C58" s="307" t="s">
        <v>67</v>
      </c>
      <c r="D58" s="308"/>
      <c r="E58" s="308"/>
      <c r="F58" s="136" t="s">
        <v>26</v>
      </c>
      <c r="G58" s="128"/>
      <c r="H58" s="128"/>
      <c r="I58" s="128">
        <f>'02 Stavební'!G22</f>
        <v>0</v>
      </c>
      <c r="J58" s="133" t="str">
        <f>IF(I72=0,"",I58/I72*100)</f>
        <v/>
      </c>
    </row>
    <row r="59" spans="1:10" ht="36.75" customHeight="1" x14ac:dyDescent="0.2">
      <c r="A59" s="122"/>
      <c r="B59" s="127" t="s">
        <v>68</v>
      </c>
      <c r="C59" s="307" t="s">
        <v>69</v>
      </c>
      <c r="D59" s="308"/>
      <c r="E59" s="308"/>
      <c r="F59" s="136" t="s">
        <v>26</v>
      </c>
      <c r="G59" s="128"/>
      <c r="H59" s="128"/>
      <c r="I59" s="128">
        <f>'02 Stavební'!G25</f>
        <v>0</v>
      </c>
      <c r="J59" s="133" t="str">
        <f>IF(I72=0,"",I59/I72*100)</f>
        <v/>
      </c>
    </row>
    <row r="60" spans="1:10" ht="36.75" customHeight="1" x14ac:dyDescent="0.2">
      <c r="A60" s="122"/>
      <c r="B60" s="127" t="s">
        <v>70</v>
      </c>
      <c r="C60" s="307" t="s">
        <v>71</v>
      </c>
      <c r="D60" s="308"/>
      <c r="E60" s="308"/>
      <c r="F60" s="136" t="s">
        <v>26</v>
      </c>
      <c r="G60" s="128"/>
      <c r="H60" s="128"/>
      <c r="I60" s="128">
        <f>'02 Stavební'!G28</f>
        <v>0</v>
      </c>
      <c r="J60" s="133" t="str">
        <f>IF(I72=0,"",I60/I72*100)</f>
        <v/>
      </c>
    </row>
    <row r="61" spans="1:10" ht="36.75" customHeight="1" x14ac:dyDescent="0.2">
      <c r="A61" s="122"/>
      <c r="B61" s="127" t="s">
        <v>72</v>
      </c>
      <c r="C61" s="307" t="s">
        <v>73</v>
      </c>
      <c r="D61" s="308"/>
      <c r="E61" s="308"/>
      <c r="F61" s="136" t="s">
        <v>26</v>
      </c>
      <c r="G61" s="128"/>
      <c r="H61" s="128"/>
      <c r="I61" s="128">
        <f>'02 Stavební'!G33</f>
        <v>0</v>
      </c>
      <c r="J61" s="133" t="str">
        <f>IF(I72=0,"",I61/I72*100)</f>
        <v/>
      </c>
    </row>
    <row r="62" spans="1:10" ht="36.75" customHeight="1" x14ac:dyDescent="0.2">
      <c r="A62" s="122"/>
      <c r="B62" s="127" t="s">
        <v>74</v>
      </c>
      <c r="C62" s="307" t="s">
        <v>75</v>
      </c>
      <c r="D62" s="308"/>
      <c r="E62" s="308"/>
      <c r="F62" s="136" t="s">
        <v>26</v>
      </c>
      <c r="G62" s="128"/>
      <c r="H62" s="128"/>
      <c r="I62" s="128">
        <f>'02 Stavební'!G48</f>
        <v>0</v>
      </c>
      <c r="J62" s="133" t="str">
        <f>IF(I72=0,"",I62/I72*100)</f>
        <v/>
      </c>
    </row>
    <row r="63" spans="1:10" ht="36.75" customHeight="1" x14ac:dyDescent="0.2">
      <c r="A63" s="122"/>
      <c r="B63" s="127" t="s">
        <v>76</v>
      </c>
      <c r="C63" s="307" t="s">
        <v>77</v>
      </c>
      <c r="D63" s="308"/>
      <c r="E63" s="308"/>
      <c r="F63" s="136" t="s">
        <v>27</v>
      </c>
      <c r="G63" s="128"/>
      <c r="H63" s="128"/>
      <c r="I63" s="128">
        <f>'02 Stavební'!G56</f>
        <v>0</v>
      </c>
      <c r="J63" s="133" t="str">
        <f>IF(I72=0,"",I63/I72*100)</f>
        <v/>
      </c>
    </row>
    <row r="64" spans="1:10" ht="36.75" customHeight="1" x14ac:dyDescent="0.2">
      <c r="A64" s="122"/>
      <c r="B64" s="127" t="s">
        <v>78</v>
      </c>
      <c r="C64" s="307" t="s">
        <v>79</v>
      </c>
      <c r="D64" s="308"/>
      <c r="E64" s="308"/>
      <c r="F64" s="136" t="s">
        <v>27</v>
      </c>
      <c r="G64" s="128"/>
      <c r="H64" s="128"/>
      <c r="I64" s="128">
        <f>'02 Stavební'!G68</f>
        <v>0</v>
      </c>
      <c r="J64" s="133" t="str">
        <f>IF(I72=0,"",I64/I72*100)</f>
        <v/>
      </c>
    </row>
    <row r="65" spans="1:10" ht="36.75" customHeight="1" x14ac:dyDescent="0.2">
      <c r="A65" s="122"/>
      <c r="B65" s="127" t="s">
        <v>80</v>
      </c>
      <c r="C65" s="307" t="s">
        <v>81</v>
      </c>
      <c r="D65" s="308"/>
      <c r="E65" s="308"/>
      <c r="F65" s="136" t="s">
        <v>27</v>
      </c>
      <c r="G65" s="128"/>
      <c r="H65" s="128"/>
      <c r="I65" s="128">
        <f>'02 Stavební'!G72</f>
        <v>0</v>
      </c>
      <c r="J65" s="133" t="str">
        <f>IF(I72=0,"",I65/I72*100)</f>
        <v/>
      </c>
    </row>
    <row r="66" spans="1:10" ht="36.75" customHeight="1" x14ac:dyDescent="0.2">
      <c r="A66" s="122"/>
      <c r="B66" s="127" t="s">
        <v>82</v>
      </c>
      <c r="C66" s="307" t="s">
        <v>83</v>
      </c>
      <c r="D66" s="308"/>
      <c r="E66" s="308"/>
      <c r="F66" s="136" t="s">
        <v>27</v>
      </c>
      <c r="G66" s="128"/>
      <c r="H66" s="128"/>
      <c r="I66" s="128">
        <f>'02 Stavební'!G82</f>
        <v>0</v>
      </c>
      <c r="J66" s="133" t="str">
        <f>IF(I72=0,"",I66/I72*100)</f>
        <v/>
      </c>
    </row>
    <row r="67" spans="1:10" ht="36.75" customHeight="1" x14ac:dyDescent="0.2">
      <c r="A67" s="122"/>
      <c r="B67" s="127" t="s">
        <v>84</v>
      </c>
      <c r="C67" s="307" t="s">
        <v>85</v>
      </c>
      <c r="D67" s="308"/>
      <c r="E67" s="308"/>
      <c r="F67" s="136" t="s">
        <v>86</v>
      </c>
      <c r="G67" s="128"/>
      <c r="H67" s="128"/>
      <c r="I67" s="128">
        <f>'02 Stavební'!G90</f>
        <v>0</v>
      </c>
      <c r="J67" s="133" t="str">
        <f>IF(I72=0,"",I67/I72*100)</f>
        <v/>
      </c>
    </row>
    <row r="68" spans="1:10" ht="36.75" customHeight="1" x14ac:dyDescent="0.2">
      <c r="A68" s="122"/>
      <c r="B68" s="295" t="s">
        <v>571</v>
      </c>
      <c r="C68" s="307" t="s">
        <v>568</v>
      </c>
      <c r="D68" s="308"/>
      <c r="E68" s="308"/>
      <c r="F68" s="296" t="s">
        <v>28</v>
      </c>
      <c r="G68" s="297"/>
      <c r="H68" s="297"/>
      <c r="I68" s="297">
        <f>SUM('03 - Silnoproud'!J96)</f>
        <v>0</v>
      </c>
      <c r="J68" s="133" t="str">
        <f>IF(I72=0,"",I68/I72*100)</f>
        <v/>
      </c>
    </row>
    <row r="69" spans="1:10" ht="36.75" customHeight="1" x14ac:dyDescent="0.2">
      <c r="A69" s="122"/>
      <c r="B69" s="295" t="s">
        <v>572</v>
      </c>
      <c r="C69" s="307" t="s">
        <v>573</v>
      </c>
      <c r="D69" s="308"/>
      <c r="E69" s="308"/>
      <c r="F69" s="296" t="s">
        <v>28</v>
      </c>
      <c r="G69" s="297"/>
      <c r="H69" s="297"/>
      <c r="I69" s="297">
        <f>SUM('04 - TPS - Elektronické k...'!J96)</f>
        <v>0</v>
      </c>
      <c r="J69" s="133" t="str">
        <f>IF(I72=0,"",I69/I72*100)</f>
        <v/>
      </c>
    </row>
    <row r="70" spans="1:10" ht="36.75" customHeight="1" x14ac:dyDescent="0.2">
      <c r="A70" s="122"/>
      <c r="B70" s="127" t="s">
        <v>87</v>
      </c>
      <c r="C70" s="307" t="s">
        <v>29</v>
      </c>
      <c r="D70" s="308"/>
      <c r="E70" s="308"/>
      <c r="F70" s="136" t="s">
        <v>87</v>
      </c>
      <c r="G70" s="128"/>
      <c r="H70" s="128"/>
      <c r="I70" s="128">
        <f>'01 VRN'!G8</f>
        <v>0</v>
      </c>
      <c r="J70" s="133" t="str">
        <f>IF(I72=0,"",I70/I72*100)</f>
        <v/>
      </c>
    </row>
    <row r="71" spans="1:10" ht="36.75" customHeight="1" x14ac:dyDescent="0.2">
      <c r="A71" s="122"/>
      <c r="B71" s="127" t="s">
        <v>88</v>
      </c>
      <c r="C71" s="307" t="s">
        <v>30</v>
      </c>
      <c r="D71" s="308"/>
      <c r="E71" s="308"/>
      <c r="F71" s="136" t="s">
        <v>88</v>
      </c>
      <c r="G71" s="128"/>
      <c r="H71" s="128"/>
      <c r="I71" s="128">
        <f>'01 VRN'!G11</f>
        <v>0</v>
      </c>
      <c r="J71" s="133" t="str">
        <f>IF(I72=0,"",I71/I72*100)</f>
        <v/>
      </c>
    </row>
    <row r="72" spans="1:10" ht="25.5" customHeight="1" x14ac:dyDescent="0.2">
      <c r="A72" s="123"/>
      <c r="B72" s="129" t="s">
        <v>1</v>
      </c>
      <c r="C72" s="130"/>
      <c r="D72" s="131"/>
      <c r="E72" s="131"/>
      <c r="F72" s="137"/>
      <c r="G72" s="132"/>
      <c r="H72" s="132"/>
      <c r="I72" s="132">
        <f>SUM(I56:I71)</f>
        <v>0</v>
      </c>
      <c r="J72" s="134">
        <f>SUM(J56:J71)</f>
        <v>0</v>
      </c>
    </row>
    <row r="73" spans="1:10" x14ac:dyDescent="0.2">
      <c r="F73" s="86"/>
      <c r="G73" s="86"/>
      <c r="H73" s="86"/>
      <c r="I73" s="86"/>
      <c r="J73" s="135"/>
    </row>
    <row r="74" spans="1:10" x14ac:dyDescent="0.2">
      <c r="F74" s="86"/>
      <c r="G74" s="86"/>
      <c r="H74" s="86"/>
      <c r="I74" s="86"/>
      <c r="J74" s="135"/>
    </row>
    <row r="75" spans="1:10" x14ac:dyDescent="0.2">
      <c r="F75" s="86"/>
      <c r="G75" s="86"/>
      <c r="H75" s="86"/>
      <c r="I75" s="86"/>
      <c r="J75" s="135"/>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4">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E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C39:E39"/>
    <mergeCell ref="C40:E40"/>
    <mergeCell ref="C41:E41"/>
    <mergeCell ref="C42:E42"/>
    <mergeCell ref="B45:E45"/>
    <mergeCell ref="C43:E43"/>
    <mergeCell ref="C44:E44"/>
    <mergeCell ref="C56:E56"/>
    <mergeCell ref="C57:E57"/>
    <mergeCell ref="C58:E58"/>
    <mergeCell ref="C59:E59"/>
    <mergeCell ref="C60:E60"/>
    <mergeCell ref="C61:E61"/>
    <mergeCell ref="C62:E62"/>
    <mergeCell ref="C63:E63"/>
    <mergeCell ref="C64:E64"/>
    <mergeCell ref="C65:E65"/>
    <mergeCell ref="C66:E66"/>
    <mergeCell ref="C67:E67"/>
    <mergeCell ref="C70:E70"/>
    <mergeCell ref="C71:E71"/>
    <mergeCell ref="C68:E68"/>
    <mergeCell ref="C69:E69"/>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50"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359" t="s">
        <v>7</v>
      </c>
      <c r="B1" s="359"/>
      <c r="C1" s="360"/>
      <c r="D1" s="359"/>
      <c r="E1" s="359"/>
      <c r="F1" s="359"/>
      <c r="G1" s="359"/>
    </row>
    <row r="2" spans="1:7" ht="24.95" customHeight="1" x14ac:dyDescent="0.2">
      <c r="A2" s="50" t="s">
        <v>8</v>
      </c>
      <c r="B2" s="49"/>
      <c r="C2" s="361"/>
      <c r="D2" s="361"/>
      <c r="E2" s="361"/>
      <c r="F2" s="361"/>
      <c r="G2" s="362"/>
    </row>
    <row r="3" spans="1:7" ht="24.95" customHeight="1" x14ac:dyDescent="0.2">
      <c r="A3" s="50" t="s">
        <v>9</v>
      </c>
      <c r="B3" s="49"/>
      <c r="C3" s="361"/>
      <c r="D3" s="361"/>
      <c r="E3" s="361"/>
      <c r="F3" s="361"/>
      <c r="G3" s="362"/>
    </row>
    <row r="4" spans="1:7" ht="24.95" customHeight="1" x14ac:dyDescent="0.2">
      <c r="A4" s="50" t="s">
        <v>10</v>
      </c>
      <c r="B4" s="49"/>
      <c r="C4" s="361"/>
      <c r="D4" s="361"/>
      <c r="E4" s="361"/>
      <c r="F4" s="361"/>
      <c r="G4" s="362"/>
    </row>
    <row r="5" spans="1:7" x14ac:dyDescent="0.2">
      <c r="B5" s="4"/>
      <c r="C5" s="5"/>
      <c r="D5" s="6"/>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7A05-96E8-4829-9BC9-981C8BD4B4AD}">
  <sheetPr>
    <outlinePr summaryBelow="0"/>
  </sheetPr>
  <dimension ref="A1:BH4994"/>
  <sheetViews>
    <sheetView workbookViewId="0">
      <pane ySplit="7" topLeftCell="A8" activePane="bottomLeft" state="frozen"/>
      <selection pane="bottomLeft" activeCell="F14" sqref="F14"/>
    </sheetView>
  </sheetViews>
  <sheetFormatPr defaultRowHeight="12.75" outlineLevelRow="2" x14ac:dyDescent="0.2"/>
  <cols>
    <col min="1" max="1" width="3.42578125" customWidth="1"/>
    <col min="2" max="2" width="12.5703125" style="120" customWidth="1"/>
    <col min="3" max="3" width="38.28515625" style="120" customWidth="1"/>
    <col min="4" max="4" width="4.85546875" customWidth="1"/>
    <col min="5" max="5" width="10.5703125" customWidth="1"/>
    <col min="6" max="6" width="9.85546875" customWidth="1"/>
    <col min="7" max="7" width="12.7109375" customWidth="1"/>
    <col min="8" max="18" width="0" hidden="1" customWidth="1"/>
    <col min="21" max="25" width="0" hidden="1" customWidth="1"/>
    <col min="29" max="29" width="0" hidden="1" customWidth="1"/>
    <col min="31" max="41" width="0" hidden="1" customWidth="1"/>
    <col min="53" max="53" width="73.7109375" customWidth="1"/>
  </cols>
  <sheetData>
    <row r="1" spans="1:60" ht="15.75" customHeight="1" x14ac:dyDescent="0.25">
      <c r="A1" s="377" t="s">
        <v>7</v>
      </c>
      <c r="B1" s="377"/>
      <c r="C1" s="377"/>
      <c r="D1" s="377"/>
      <c r="E1" s="377"/>
      <c r="F1" s="377"/>
      <c r="G1" s="377"/>
      <c r="AG1" t="s">
        <v>89</v>
      </c>
    </row>
    <row r="2" spans="1:60" ht="24.95" customHeight="1" x14ac:dyDescent="0.2">
      <c r="A2" s="50" t="s">
        <v>8</v>
      </c>
      <c r="B2" s="49" t="s">
        <v>43</v>
      </c>
      <c r="C2" s="378" t="s">
        <v>44</v>
      </c>
      <c r="D2" s="379"/>
      <c r="E2" s="379"/>
      <c r="F2" s="379"/>
      <c r="G2" s="380"/>
      <c r="AG2" t="s">
        <v>90</v>
      </c>
    </row>
    <row r="3" spans="1:60" ht="24.95" customHeight="1" x14ac:dyDescent="0.2">
      <c r="A3" s="50" t="s">
        <v>9</v>
      </c>
      <c r="B3" s="49" t="s">
        <v>46</v>
      </c>
      <c r="C3" s="378" t="s">
        <v>47</v>
      </c>
      <c r="D3" s="379"/>
      <c r="E3" s="379"/>
      <c r="F3" s="379"/>
      <c r="G3" s="380"/>
      <c r="AC3" s="120" t="s">
        <v>90</v>
      </c>
      <c r="AG3" t="s">
        <v>91</v>
      </c>
    </row>
    <row r="4" spans="1:60" ht="24.95" customHeight="1" x14ac:dyDescent="0.2">
      <c r="A4" s="139" t="s">
        <v>10</v>
      </c>
      <c r="B4" s="140" t="s">
        <v>48</v>
      </c>
      <c r="C4" s="381" t="s">
        <v>49</v>
      </c>
      <c r="D4" s="382"/>
      <c r="E4" s="382"/>
      <c r="F4" s="382"/>
      <c r="G4" s="383"/>
      <c r="AG4" t="s">
        <v>92</v>
      </c>
    </row>
    <row r="5" spans="1:60" x14ac:dyDescent="0.2">
      <c r="D5" s="10"/>
    </row>
    <row r="6" spans="1:60" ht="38.25" x14ac:dyDescent="0.2">
      <c r="A6" s="142" t="s">
        <v>93</v>
      </c>
      <c r="B6" s="144" t="s">
        <v>94</v>
      </c>
      <c r="C6" s="144" t="s">
        <v>95</v>
      </c>
      <c r="D6" s="143" t="s">
        <v>96</v>
      </c>
      <c r="E6" s="142" t="s">
        <v>97</v>
      </c>
      <c r="F6" s="141" t="s">
        <v>98</v>
      </c>
      <c r="G6" s="142" t="s">
        <v>31</v>
      </c>
      <c r="H6" s="145" t="s">
        <v>32</v>
      </c>
      <c r="I6" s="145" t="s">
        <v>99</v>
      </c>
      <c r="J6" s="145" t="s">
        <v>33</v>
      </c>
      <c r="K6" s="145" t="s">
        <v>100</v>
      </c>
      <c r="L6" s="145" t="s">
        <v>101</v>
      </c>
      <c r="M6" s="145" t="s">
        <v>102</v>
      </c>
      <c r="N6" s="145" t="s">
        <v>103</v>
      </c>
      <c r="O6" s="145" t="s">
        <v>104</v>
      </c>
      <c r="P6" s="145" t="s">
        <v>105</v>
      </c>
      <c r="Q6" s="145" t="s">
        <v>106</v>
      </c>
      <c r="R6" s="145" t="s">
        <v>107</v>
      </c>
      <c r="S6" s="145" t="s">
        <v>108</v>
      </c>
      <c r="T6" s="145" t="s">
        <v>109</v>
      </c>
      <c r="U6" s="145" t="s">
        <v>110</v>
      </c>
      <c r="V6" s="145" t="s">
        <v>111</v>
      </c>
      <c r="W6" s="145" t="s">
        <v>112</v>
      </c>
      <c r="X6" s="145" t="s">
        <v>113</v>
      </c>
      <c r="Y6" s="145" t="s">
        <v>114</v>
      </c>
    </row>
    <row r="7" spans="1:60" hidden="1" x14ac:dyDescent="0.2">
      <c r="A7" s="3"/>
      <c r="B7" s="4"/>
      <c r="C7" s="4"/>
      <c r="D7" s="6"/>
      <c r="E7" s="147"/>
      <c r="F7" s="148"/>
      <c r="G7" s="148"/>
      <c r="H7" s="148"/>
      <c r="I7" s="148"/>
      <c r="J7" s="148"/>
      <c r="K7" s="148"/>
      <c r="L7" s="148"/>
      <c r="M7" s="148"/>
      <c r="N7" s="147"/>
      <c r="O7" s="147"/>
      <c r="P7" s="147"/>
      <c r="Q7" s="147"/>
      <c r="R7" s="148"/>
      <c r="S7" s="148"/>
      <c r="T7" s="148"/>
      <c r="U7" s="148"/>
      <c r="V7" s="148"/>
      <c r="W7" s="148"/>
      <c r="X7" s="148"/>
      <c r="Y7" s="148"/>
    </row>
    <row r="8" spans="1:60" x14ac:dyDescent="0.2">
      <c r="A8" s="158" t="s">
        <v>115</v>
      </c>
      <c r="B8" s="159" t="s">
        <v>87</v>
      </c>
      <c r="C8" s="173" t="s">
        <v>29</v>
      </c>
      <c r="D8" s="160"/>
      <c r="E8" s="161"/>
      <c r="F8" s="162"/>
      <c r="G8" s="162">
        <f>SUMIF(AG9:AG10,"&lt;&gt;NOR",G9:G10)</f>
        <v>0</v>
      </c>
      <c r="H8" s="162"/>
      <c r="I8" s="162">
        <f>SUM(I9:I10)</f>
        <v>0</v>
      </c>
      <c r="J8" s="162"/>
      <c r="K8" s="162">
        <f>SUM(K9:K10)</f>
        <v>10000</v>
      </c>
      <c r="L8" s="162"/>
      <c r="M8" s="162">
        <f>SUM(M9:M10)</f>
        <v>0</v>
      </c>
      <c r="N8" s="161"/>
      <c r="O8" s="161">
        <f>SUM(O9:O10)</f>
        <v>0</v>
      </c>
      <c r="P8" s="161"/>
      <c r="Q8" s="161">
        <f>SUM(Q9:Q10)</f>
        <v>0</v>
      </c>
      <c r="R8" s="162"/>
      <c r="S8" s="162"/>
      <c r="T8" s="163"/>
      <c r="U8" s="157"/>
      <c r="V8" s="157">
        <f>SUM(V9:V10)</f>
        <v>0</v>
      </c>
      <c r="W8" s="157"/>
      <c r="X8" s="157"/>
      <c r="Y8" s="157"/>
      <c r="AG8" t="s">
        <v>116</v>
      </c>
    </row>
    <row r="9" spans="1:60" outlineLevel="1" x14ac:dyDescent="0.2">
      <c r="A9" s="165">
        <v>4</v>
      </c>
      <c r="B9" s="166" t="s">
        <v>123</v>
      </c>
      <c r="C9" s="174" t="s">
        <v>124</v>
      </c>
      <c r="D9" s="167" t="s">
        <v>117</v>
      </c>
      <c r="E9" s="168">
        <v>1</v>
      </c>
      <c r="F9" s="169"/>
      <c r="G9" s="170">
        <f>ROUND(E9*F9,2)</f>
        <v>0</v>
      </c>
      <c r="H9" s="169">
        <v>0</v>
      </c>
      <c r="I9" s="170">
        <f>ROUND(E9*H9,2)</f>
        <v>0</v>
      </c>
      <c r="J9" s="169">
        <v>10000</v>
      </c>
      <c r="K9" s="170">
        <f>ROUND(E9*J9,2)</f>
        <v>10000</v>
      </c>
      <c r="L9" s="170">
        <v>21</v>
      </c>
      <c r="M9" s="170">
        <f>G9*(1+L9/100)</f>
        <v>0</v>
      </c>
      <c r="N9" s="168">
        <v>0</v>
      </c>
      <c r="O9" s="168">
        <f>ROUND(E9*N9,2)</f>
        <v>0</v>
      </c>
      <c r="P9" s="168">
        <v>0</v>
      </c>
      <c r="Q9" s="168">
        <f>ROUND(E9*P9,2)</f>
        <v>0</v>
      </c>
      <c r="R9" s="170"/>
      <c r="S9" s="170" t="s">
        <v>118</v>
      </c>
      <c r="T9" s="171" t="s">
        <v>119</v>
      </c>
      <c r="U9" s="156">
        <v>0</v>
      </c>
      <c r="V9" s="156">
        <f>ROUND(E9*U9,2)</f>
        <v>0</v>
      </c>
      <c r="W9" s="156"/>
      <c r="X9" s="156" t="s">
        <v>49</v>
      </c>
      <c r="Y9" s="156" t="s">
        <v>120</v>
      </c>
      <c r="Z9" s="146"/>
      <c r="AA9" s="146"/>
      <c r="AB9" s="146"/>
      <c r="AC9" s="146"/>
      <c r="AD9" s="146"/>
      <c r="AE9" s="146"/>
      <c r="AF9" s="146"/>
      <c r="AG9" s="146" t="s">
        <v>121</v>
      </c>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row>
    <row r="10" spans="1:60" ht="22.5" outlineLevel="2" x14ac:dyDescent="0.2">
      <c r="A10" s="153"/>
      <c r="B10" s="154"/>
      <c r="C10" s="375" t="s">
        <v>125</v>
      </c>
      <c r="D10" s="376"/>
      <c r="E10" s="376"/>
      <c r="F10" s="376"/>
      <c r="G10" s="376"/>
      <c r="H10" s="156"/>
      <c r="I10" s="156"/>
      <c r="J10" s="156"/>
      <c r="K10" s="156"/>
      <c r="L10" s="156"/>
      <c r="M10" s="156"/>
      <c r="N10" s="155"/>
      <c r="O10" s="155"/>
      <c r="P10" s="155"/>
      <c r="Q10" s="155"/>
      <c r="R10" s="156"/>
      <c r="S10" s="156"/>
      <c r="T10" s="156"/>
      <c r="U10" s="156"/>
      <c r="V10" s="156"/>
      <c r="W10" s="156"/>
      <c r="X10" s="156"/>
      <c r="Y10" s="156"/>
      <c r="Z10" s="146"/>
      <c r="AA10" s="146"/>
      <c r="AB10" s="146"/>
      <c r="AC10" s="146"/>
      <c r="AD10" s="146"/>
      <c r="AE10" s="146"/>
      <c r="AF10" s="146"/>
      <c r="AG10" s="146" t="s">
        <v>122</v>
      </c>
      <c r="AH10" s="146"/>
      <c r="AI10" s="146"/>
      <c r="AJ10" s="146"/>
      <c r="AK10" s="146"/>
      <c r="AL10" s="146"/>
      <c r="AM10" s="146"/>
      <c r="AN10" s="146"/>
      <c r="AO10" s="146"/>
      <c r="AP10" s="146"/>
      <c r="AQ10" s="146"/>
      <c r="AR10" s="146"/>
      <c r="AS10" s="146"/>
      <c r="AT10" s="146"/>
      <c r="AU10" s="146"/>
      <c r="AV10" s="146"/>
      <c r="AW10" s="146"/>
      <c r="AX10" s="146"/>
      <c r="AY10" s="146"/>
      <c r="AZ10" s="146"/>
      <c r="BA10" s="172" t="str">
        <f>C10</f>
        <v>Náklady na ztížené provádění stavebních prací v důsledku nepřerušeného provozu na staveništi nebo v případech nepřerušeného provozu v objektech v nichž se stavební práce provádí.</v>
      </c>
      <c r="BB10" s="146"/>
      <c r="BC10" s="146"/>
      <c r="BD10" s="146"/>
      <c r="BE10" s="146"/>
      <c r="BF10" s="146"/>
      <c r="BG10" s="146"/>
      <c r="BH10" s="146"/>
    </row>
    <row r="11" spans="1:60" x14ac:dyDescent="0.2">
      <c r="A11" s="158" t="s">
        <v>115</v>
      </c>
      <c r="B11" s="159" t="s">
        <v>88</v>
      </c>
      <c r="C11" s="173" t="s">
        <v>30</v>
      </c>
      <c r="D11" s="160"/>
      <c r="E11" s="161"/>
      <c r="F11" s="162"/>
      <c r="G11" s="162">
        <f>SUMIF(AG12:AG15,"&lt;&gt;NOR",G12:G15)</f>
        <v>0</v>
      </c>
      <c r="H11" s="162"/>
      <c r="I11" s="162">
        <f>SUM(I12:I15)</f>
        <v>0</v>
      </c>
      <c r="J11" s="162"/>
      <c r="K11" s="162">
        <f>SUM(K12:K15)</f>
        <v>15000</v>
      </c>
      <c r="L11" s="162"/>
      <c r="M11" s="162">
        <f>SUM(M12:M15)</f>
        <v>0</v>
      </c>
      <c r="N11" s="161"/>
      <c r="O11" s="161">
        <f>SUM(O12:O15)</f>
        <v>0</v>
      </c>
      <c r="P11" s="161"/>
      <c r="Q11" s="161">
        <f>SUM(Q12:Q15)</f>
        <v>0</v>
      </c>
      <c r="R11" s="162"/>
      <c r="S11" s="162"/>
      <c r="T11" s="163"/>
      <c r="U11" s="157"/>
      <c r="V11" s="157">
        <f>SUM(V12:V15)</f>
        <v>0</v>
      </c>
      <c r="W11" s="157"/>
      <c r="X11" s="157"/>
      <c r="Y11" s="157"/>
      <c r="AG11" t="s">
        <v>116</v>
      </c>
    </row>
    <row r="12" spans="1:60" outlineLevel="1" x14ac:dyDescent="0.2">
      <c r="A12" s="165">
        <v>5</v>
      </c>
      <c r="B12" s="166" t="s">
        <v>126</v>
      </c>
      <c r="C12" s="174" t="s">
        <v>127</v>
      </c>
      <c r="D12" s="167" t="s">
        <v>117</v>
      </c>
      <c r="E12" s="168">
        <v>1</v>
      </c>
      <c r="F12" s="169"/>
      <c r="G12" s="170">
        <f>ROUND(E12*F12,2)</f>
        <v>0</v>
      </c>
      <c r="H12" s="169">
        <v>0</v>
      </c>
      <c r="I12" s="170">
        <f>ROUND(E12*H12,2)</f>
        <v>0</v>
      </c>
      <c r="J12" s="169">
        <v>5000</v>
      </c>
      <c r="K12" s="170">
        <f>ROUND(E12*J12,2)</f>
        <v>5000</v>
      </c>
      <c r="L12" s="170">
        <v>21</v>
      </c>
      <c r="M12" s="170">
        <f>G12*(1+L12/100)</f>
        <v>0</v>
      </c>
      <c r="N12" s="168">
        <v>0</v>
      </c>
      <c r="O12" s="168">
        <f>ROUND(E12*N12,2)</f>
        <v>0</v>
      </c>
      <c r="P12" s="168">
        <v>0</v>
      </c>
      <c r="Q12" s="168">
        <f>ROUND(E12*P12,2)</f>
        <v>0</v>
      </c>
      <c r="R12" s="170"/>
      <c r="S12" s="170" t="s">
        <v>118</v>
      </c>
      <c r="T12" s="171" t="s">
        <v>119</v>
      </c>
      <c r="U12" s="156">
        <v>0</v>
      </c>
      <c r="V12" s="156">
        <f>ROUND(E12*U12,2)</f>
        <v>0</v>
      </c>
      <c r="W12" s="156"/>
      <c r="X12" s="156" t="s">
        <v>49</v>
      </c>
      <c r="Y12" s="156" t="s">
        <v>120</v>
      </c>
      <c r="Z12" s="146"/>
      <c r="AA12" s="146"/>
      <c r="AB12" s="146"/>
      <c r="AC12" s="146"/>
      <c r="AD12" s="146"/>
      <c r="AE12" s="146"/>
      <c r="AF12" s="146"/>
      <c r="AG12" s="146" t="s">
        <v>121</v>
      </c>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row>
    <row r="13" spans="1:60" ht="45" outlineLevel="2" x14ac:dyDescent="0.2">
      <c r="A13" s="153"/>
      <c r="B13" s="154"/>
      <c r="C13" s="375" t="s">
        <v>128</v>
      </c>
      <c r="D13" s="376"/>
      <c r="E13" s="376"/>
      <c r="F13" s="376"/>
      <c r="G13" s="376"/>
      <c r="H13" s="156"/>
      <c r="I13" s="156"/>
      <c r="J13" s="156"/>
      <c r="K13" s="156"/>
      <c r="L13" s="156"/>
      <c r="M13" s="156"/>
      <c r="N13" s="155"/>
      <c r="O13" s="155"/>
      <c r="P13" s="155"/>
      <c r="Q13" s="155"/>
      <c r="R13" s="156"/>
      <c r="S13" s="156"/>
      <c r="T13" s="156"/>
      <c r="U13" s="156"/>
      <c r="V13" s="156"/>
      <c r="W13" s="156"/>
      <c r="X13" s="156"/>
      <c r="Y13" s="156"/>
      <c r="Z13" s="146"/>
      <c r="AA13" s="146"/>
      <c r="AB13" s="146"/>
      <c r="AC13" s="146"/>
      <c r="AD13" s="146"/>
      <c r="AE13" s="146"/>
      <c r="AF13" s="146"/>
      <c r="AG13" s="146" t="s">
        <v>122</v>
      </c>
      <c r="AH13" s="146"/>
      <c r="AI13" s="146"/>
      <c r="AJ13" s="146"/>
      <c r="AK13" s="146"/>
      <c r="AL13" s="146"/>
      <c r="AM13" s="146"/>
      <c r="AN13" s="146"/>
      <c r="AO13" s="146"/>
      <c r="AP13" s="146"/>
      <c r="AQ13" s="146"/>
      <c r="AR13" s="146"/>
      <c r="AS13" s="146"/>
      <c r="AT13" s="146"/>
      <c r="AU13" s="146"/>
      <c r="AV13" s="146"/>
      <c r="AW13" s="146"/>
      <c r="AX13" s="146"/>
      <c r="AY13" s="146"/>
      <c r="AZ13" s="146"/>
      <c r="BA13" s="172" t="str">
        <f>C13</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13" s="146"/>
      <c r="BC13" s="146"/>
      <c r="BD13" s="146"/>
      <c r="BE13" s="146"/>
      <c r="BF13" s="146"/>
      <c r="BG13" s="146"/>
      <c r="BH13" s="146"/>
    </row>
    <row r="14" spans="1:60" outlineLevel="1" x14ac:dyDescent="0.2">
      <c r="A14" s="165">
        <v>6</v>
      </c>
      <c r="B14" s="166" t="s">
        <v>129</v>
      </c>
      <c r="C14" s="174" t="s">
        <v>130</v>
      </c>
      <c r="D14" s="167" t="s">
        <v>117</v>
      </c>
      <c r="E14" s="168">
        <v>1</v>
      </c>
      <c r="F14" s="169"/>
      <c r="G14" s="170">
        <f>ROUND(E14*F14,2)</f>
        <v>0</v>
      </c>
      <c r="H14" s="169">
        <v>0</v>
      </c>
      <c r="I14" s="170">
        <f>ROUND(E14*H14,2)</f>
        <v>0</v>
      </c>
      <c r="J14" s="169">
        <v>10000</v>
      </c>
      <c r="K14" s="170">
        <f>ROUND(E14*J14,2)</f>
        <v>10000</v>
      </c>
      <c r="L14" s="170">
        <v>21</v>
      </c>
      <c r="M14" s="170">
        <f>G14*(1+L14/100)</f>
        <v>0</v>
      </c>
      <c r="N14" s="168">
        <v>0</v>
      </c>
      <c r="O14" s="168">
        <f>ROUND(E14*N14,2)</f>
        <v>0</v>
      </c>
      <c r="P14" s="168">
        <v>0</v>
      </c>
      <c r="Q14" s="168">
        <f>ROUND(E14*P14,2)</f>
        <v>0</v>
      </c>
      <c r="R14" s="170"/>
      <c r="S14" s="170" t="s">
        <v>118</v>
      </c>
      <c r="T14" s="171" t="s">
        <v>119</v>
      </c>
      <c r="U14" s="156">
        <v>0</v>
      </c>
      <c r="V14" s="156">
        <f>ROUND(E14*U14,2)</f>
        <v>0</v>
      </c>
      <c r="W14" s="156"/>
      <c r="X14" s="156" t="s">
        <v>49</v>
      </c>
      <c r="Y14" s="156" t="s">
        <v>120</v>
      </c>
      <c r="Z14" s="146"/>
      <c r="AA14" s="146"/>
      <c r="AB14" s="146"/>
      <c r="AC14" s="146"/>
      <c r="AD14" s="146"/>
      <c r="AE14" s="146"/>
      <c r="AF14" s="146"/>
      <c r="AG14" s="146" t="s">
        <v>121</v>
      </c>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row>
    <row r="15" spans="1:60" ht="22.5" outlineLevel="2" x14ac:dyDescent="0.2">
      <c r="A15" s="153"/>
      <c r="B15" s="154"/>
      <c r="C15" s="375" t="s">
        <v>131</v>
      </c>
      <c r="D15" s="376"/>
      <c r="E15" s="376"/>
      <c r="F15" s="376"/>
      <c r="G15" s="376"/>
      <c r="H15" s="156"/>
      <c r="I15" s="156"/>
      <c r="J15" s="156"/>
      <c r="K15" s="156"/>
      <c r="L15" s="156"/>
      <c r="M15" s="156"/>
      <c r="N15" s="155"/>
      <c r="O15" s="155"/>
      <c r="P15" s="155"/>
      <c r="Q15" s="155"/>
      <c r="R15" s="156"/>
      <c r="S15" s="156"/>
      <c r="T15" s="156"/>
      <c r="U15" s="156"/>
      <c r="V15" s="156"/>
      <c r="W15" s="156"/>
      <c r="X15" s="156"/>
      <c r="Y15" s="156"/>
      <c r="Z15" s="146"/>
      <c r="AA15" s="146"/>
      <c r="AB15" s="146"/>
      <c r="AC15" s="146"/>
      <c r="AD15" s="146"/>
      <c r="AE15" s="146"/>
      <c r="AF15" s="146"/>
      <c r="AG15" s="146" t="s">
        <v>122</v>
      </c>
      <c r="AH15" s="146"/>
      <c r="AI15" s="146"/>
      <c r="AJ15" s="146"/>
      <c r="AK15" s="146"/>
      <c r="AL15" s="146"/>
      <c r="AM15" s="146"/>
      <c r="AN15" s="146"/>
      <c r="AO15" s="146"/>
      <c r="AP15" s="146"/>
      <c r="AQ15" s="146"/>
      <c r="AR15" s="146"/>
      <c r="AS15" s="146"/>
      <c r="AT15" s="146"/>
      <c r="AU15" s="146"/>
      <c r="AV15" s="146"/>
      <c r="AW15" s="146"/>
      <c r="AX15" s="146"/>
      <c r="AY15" s="146"/>
      <c r="AZ15" s="146"/>
      <c r="BA15" s="172" t="str">
        <f>C15</f>
        <v>Náklady na vyhotovení dokumentace skutečného provedení stavby a její předání objednateli v požadované formě a požadovaném počtu.</v>
      </c>
      <c r="BB15" s="146"/>
      <c r="BC15" s="146"/>
      <c r="BD15" s="146"/>
      <c r="BE15" s="146"/>
      <c r="BF15" s="146"/>
      <c r="BG15" s="146"/>
      <c r="BH15" s="146"/>
    </row>
    <row r="16" spans="1:60" x14ac:dyDescent="0.2">
      <c r="A16" s="3"/>
      <c r="B16" s="4"/>
      <c r="C16" s="175"/>
      <c r="D16" s="6"/>
      <c r="E16" s="3"/>
      <c r="F16" s="3"/>
      <c r="G16" s="3"/>
      <c r="H16" s="3"/>
      <c r="I16" s="3"/>
      <c r="J16" s="3"/>
      <c r="K16" s="3"/>
      <c r="L16" s="3"/>
      <c r="M16" s="3"/>
      <c r="N16" s="3"/>
      <c r="O16" s="3"/>
      <c r="P16" s="3"/>
      <c r="Q16" s="3"/>
      <c r="R16" s="3"/>
      <c r="S16" s="3"/>
      <c r="T16" s="3"/>
      <c r="U16" s="3"/>
      <c r="V16" s="3"/>
      <c r="W16" s="3"/>
      <c r="X16" s="3"/>
      <c r="Y16" s="3"/>
      <c r="AE16">
        <v>12</v>
      </c>
      <c r="AF16">
        <v>21</v>
      </c>
      <c r="AG16" t="s">
        <v>101</v>
      </c>
    </row>
    <row r="17" spans="1:33" x14ac:dyDescent="0.2">
      <c r="A17" s="149"/>
      <c r="B17" s="150" t="s">
        <v>31</v>
      </c>
      <c r="C17" s="176"/>
      <c r="D17" s="151"/>
      <c r="E17" s="152"/>
      <c r="F17" s="152"/>
      <c r="G17" s="164">
        <f>G8+G11</f>
        <v>0</v>
      </c>
      <c r="H17" s="3"/>
      <c r="I17" s="3"/>
      <c r="J17" s="3"/>
      <c r="K17" s="3"/>
      <c r="L17" s="3"/>
      <c r="M17" s="3"/>
      <c r="N17" s="3"/>
      <c r="O17" s="3"/>
      <c r="P17" s="3"/>
      <c r="Q17" s="3"/>
      <c r="R17" s="3"/>
      <c r="S17" s="3"/>
      <c r="T17" s="3"/>
      <c r="U17" s="3"/>
      <c r="V17" s="3"/>
      <c r="W17" s="3"/>
      <c r="X17" s="3"/>
      <c r="Y17" s="3"/>
      <c r="AE17">
        <f>SUMIF(L7:L15,AE16,G7:G15)</f>
        <v>0</v>
      </c>
      <c r="AF17">
        <f>SUMIF(L7:L15,AF16,G7:G15)</f>
        <v>0</v>
      </c>
      <c r="AG17" t="s">
        <v>132</v>
      </c>
    </row>
    <row r="18" spans="1:33" x14ac:dyDescent="0.2">
      <c r="A18" s="3"/>
      <c r="B18" s="4"/>
      <c r="C18" s="175"/>
      <c r="D18" s="6"/>
      <c r="E18" s="3"/>
      <c r="F18" s="3"/>
      <c r="G18" s="3"/>
      <c r="H18" s="3"/>
      <c r="I18" s="3"/>
      <c r="J18" s="3"/>
      <c r="K18" s="3"/>
      <c r="L18" s="3"/>
      <c r="M18" s="3"/>
      <c r="N18" s="3"/>
      <c r="O18" s="3"/>
      <c r="P18" s="3"/>
      <c r="Q18" s="3"/>
      <c r="R18" s="3"/>
      <c r="S18" s="3"/>
      <c r="T18" s="3"/>
      <c r="U18" s="3"/>
      <c r="V18" s="3"/>
      <c r="W18" s="3"/>
      <c r="X18" s="3"/>
      <c r="Y18" s="3"/>
    </row>
    <row r="19" spans="1:33" x14ac:dyDescent="0.2">
      <c r="A19" s="3"/>
      <c r="B19" s="4"/>
      <c r="C19" s="175"/>
      <c r="D19" s="6"/>
      <c r="E19" s="3"/>
      <c r="F19" s="3"/>
      <c r="G19" s="3"/>
      <c r="H19" s="3"/>
      <c r="I19" s="3"/>
      <c r="J19" s="3"/>
      <c r="K19" s="3"/>
      <c r="L19" s="3"/>
      <c r="M19" s="3"/>
      <c r="N19" s="3"/>
      <c r="O19" s="3"/>
      <c r="P19" s="3"/>
      <c r="Q19" s="3"/>
      <c r="R19" s="3"/>
      <c r="S19" s="3"/>
      <c r="T19" s="3"/>
      <c r="U19" s="3"/>
      <c r="V19" s="3"/>
      <c r="W19" s="3"/>
      <c r="X19" s="3"/>
      <c r="Y19" s="3"/>
    </row>
    <row r="20" spans="1:33" x14ac:dyDescent="0.2">
      <c r="A20" s="384" t="s">
        <v>133</v>
      </c>
      <c r="B20" s="384"/>
      <c r="C20" s="385"/>
      <c r="D20" s="6"/>
      <c r="E20" s="3"/>
      <c r="F20" s="3"/>
      <c r="G20" s="3"/>
      <c r="H20" s="3"/>
      <c r="I20" s="3"/>
      <c r="J20" s="3"/>
      <c r="K20" s="3"/>
      <c r="L20" s="3"/>
      <c r="M20" s="3"/>
      <c r="N20" s="3"/>
      <c r="O20" s="3"/>
      <c r="P20" s="3"/>
      <c r="Q20" s="3"/>
      <c r="R20" s="3"/>
      <c r="S20" s="3"/>
      <c r="T20" s="3"/>
      <c r="U20" s="3"/>
      <c r="V20" s="3"/>
      <c r="W20" s="3"/>
      <c r="X20" s="3"/>
      <c r="Y20" s="3"/>
    </row>
    <row r="21" spans="1:33" x14ac:dyDescent="0.2">
      <c r="A21" s="363"/>
      <c r="B21" s="364"/>
      <c r="C21" s="365"/>
      <c r="D21" s="364"/>
      <c r="E21" s="364"/>
      <c r="F21" s="364"/>
      <c r="G21" s="366"/>
      <c r="H21" s="3"/>
      <c r="I21" s="3"/>
      <c r="J21" s="3"/>
      <c r="K21" s="3"/>
      <c r="L21" s="3"/>
      <c r="M21" s="3"/>
      <c r="N21" s="3"/>
      <c r="O21" s="3"/>
      <c r="P21" s="3"/>
      <c r="Q21" s="3"/>
      <c r="R21" s="3"/>
      <c r="S21" s="3"/>
      <c r="T21" s="3"/>
      <c r="U21" s="3"/>
      <c r="V21" s="3"/>
      <c r="W21" s="3"/>
      <c r="X21" s="3"/>
      <c r="Y21" s="3"/>
      <c r="AG21" t="s">
        <v>134</v>
      </c>
    </row>
    <row r="22" spans="1:33" x14ac:dyDescent="0.2">
      <c r="A22" s="367"/>
      <c r="B22" s="368"/>
      <c r="C22" s="369"/>
      <c r="D22" s="368"/>
      <c r="E22" s="368"/>
      <c r="F22" s="368"/>
      <c r="G22" s="370"/>
      <c r="H22" s="3"/>
      <c r="I22" s="3"/>
      <c r="J22" s="3"/>
      <c r="K22" s="3"/>
      <c r="L22" s="3"/>
      <c r="M22" s="3"/>
      <c r="N22" s="3"/>
      <c r="O22" s="3"/>
      <c r="P22" s="3"/>
      <c r="Q22" s="3"/>
      <c r="R22" s="3"/>
      <c r="S22" s="3"/>
      <c r="T22" s="3"/>
      <c r="U22" s="3"/>
      <c r="V22" s="3"/>
      <c r="W22" s="3"/>
      <c r="X22" s="3"/>
      <c r="Y22" s="3"/>
    </row>
    <row r="23" spans="1:33" x14ac:dyDescent="0.2">
      <c r="A23" s="367"/>
      <c r="B23" s="368"/>
      <c r="C23" s="369"/>
      <c r="D23" s="368"/>
      <c r="E23" s="368"/>
      <c r="F23" s="368"/>
      <c r="G23" s="370"/>
      <c r="H23" s="3"/>
      <c r="I23" s="3"/>
      <c r="J23" s="3"/>
      <c r="K23" s="3"/>
      <c r="L23" s="3"/>
      <c r="M23" s="3"/>
      <c r="N23" s="3"/>
      <c r="O23" s="3"/>
      <c r="P23" s="3"/>
      <c r="Q23" s="3"/>
      <c r="R23" s="3"/>
      <c r="S23" s="3"/>
      <c r="T23" s="3"/>
      <c r="U23" s="3"/>
      <c r="V23" s="3"/>
      <c r="W23" s="3"/>
      <c r="X23" s="3"/>
      <c r="Y23" s="3"/>
    </row>
    <row r="24" spans="1:33" x14ac:dyDescent="0.2">
      <c r="A24" s="367"/>
      <c r="B24" s="368"/>
      <c r="C24" s="369"/>
      <c r="D24" s="368"/>
      <c r="E24" s="368"/>
      <c r="F24" s="368"/>
      <c r="G24" s="370"/>
      <c r="H24" s="3"/>
      <c r="I24" s="3"/>
      <c r="J24" s="3"/>
      <c r="K24" s="3"/>
      <c r="L24" s="3"/>
      <c r="M24" s="3"/>
      <c r="N24" s="3"/>
      <c r="O24" s="3"/>
      <c r="P24" s="3"/>
      <c r="Q24" s="3"/>
      <c r="R24" s="3"/>
      <c r="S24" s="3"/>
      <c r="T24" s="3"/>
      <c r="U24" s="3"/>
      <c r="V24" s="3"/>
      <c r="W24" s="3"/>
      <c r="X24" s="3"/>
      <c r="Y24" s="3"/>
    </row>
    <row r="25" spans="1:33" x14ac:dyDescent="0.2">
      <c r="A25" s="371"/>
      <c r="B25" s="372"/>
      <c r="C25" s="373"/>
      <c r="D25" s="372"/>
      <c r="E25" s="372"/>
      <c r="F25" s="372"/>
      <c r="G25" s="374"/>
      <c r="H25" s="3"/>
      <c r="I25" s="3"/>
      <c r="J25" s="3"/>
      <c r="K25" s="3"/>
      <c r="L25" s="3"/>
      <c r="M25" s="3"/>
      <c r="N25" s="3"/>
      <c r="O25" s="3"/>
      <c r="P25" s="3"/>
      <c r="Q25" s="3"/>
      <c r="R25" s="3"/>
      <c r="S25" s="3"/>
      <c r="T25" s="3"/>
      <c r="U25" s="3"/>
      <c r="V25" s="3"/>
      <c r="W25" s="3"/>
      <c r="X25" s="3"/>
      <c r="Y25" s="3"/>
    </row>
    <row r="26" spans="1:33" x14ac:dyDescent="0.2">
      <c r="A26" s="3"/>
      <c r="B26" s="4"/>
      <c r="C26" s="175"/>
      <c r="D26" s="6"/>
      <c r="E26" s="3"/>
      <c r="F26" s="3"/>
      <c r="G26" s="3"/>
      <c r="H26" s="3"/>
      <c r="I26" s="3"/>
      <c r="J26" s="3"/>
      <c r="K26" s="3"/>
      <c r="L26" s="3"/>
      <c r="M26" s="3"/>
      <c r="N26" s="3"/>
      <c r="O26" s="3"/>
      <c r="P26" s="3"/>
      <c r="Q26" s="3"/>
      <c r="R26" s="3"/>
      <c r="S26" s="3"/>
      <c r="T26" s="3"/>
      <c r="U26" s="3"/>
      <c r="V26" s="3"/>
      <c r="W26" s="3"/>
      <c r="X26" s="3"/>
      <c r="Y26" s="3"/>
    </row>
    <row r="27" spans="1:33" x14ac:dyDescent="0.2">
      <c r="C27" s="177"/>
      <c r="D27" s="10"/>
      <c r="AG27" t="s">
        <v>135</v>
      </c>
    </row>
    <row r="28" spans="1:33" x14ac:dyDescent="0.2">
      <c r="D28" s="10"/>
    </row>
    <row r="29" spans="1:33" x14ac:dyDescent="0.2">
      <c r="D29" s="10"/>
    </row>
    <row r="30" spans="1:33" x14ac:dyDescent="0.2">
      <c r="D30" s="10"/>
    </row>
    <row r="31" spans="1:33" x14ac:dyDescent="0.2">
      <c r="D31" s="10"/>
    </row>
    <row r="32" spans="1:33"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sheetData>
  <mergeCells count="9">
    <mergeCell ref="A21:G25"/>
    <mergeCell ref="C10:G10"/>
    <mergeCell ref="C13:G13"/>
    <mergeCell ref="C15:G15"/>
    <mergeCell ref="A1:G1"/>
    <mergeCell ref="C2:G2"/>
    <mergeCell ref="C3:G3"/>
    <mergeCell ref="C4:G4"/>
    <mergeCell ref="A20:C20"/>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DB3AF-03B7-4FB4-971D-1AC34E163959}">
  <sheetPr>
    <outlinePr summaryBelow="0"/>
  </sheetPr>
  <dimension ref="A1:BH4997"/>
  <sheetViews>
    <sheetView workbookViewId="0">
      <pane ySplit="7" topLeftCell="A51" activePane="bottomLeft" state="frozen"/>
      <selection pane="bottomLeft" activeCell="F100" sqref="F100"/>
    </sheetView>
  </sheetViews>
  <sheetFormatPr defaultRowHeight="12.75" outlineLevelRow="3" x14ac:dyDescent="0.2"/>
  <cols>
    <col min="1" max="1" width="3.42578125" customWidth="1"/>
    <col min="2" max="2" width="12.5703125" style="120" customWidth="1"/>
    <col min="3" max="3" width="38.28515625" style="120" customWidth="1"/>
    <col min="4" max="4" width="4.85546875" customWidth="1"/>
    <col min="5" max="5" width="10.5703125" customWidth="1"/>
    <col min="6" max="6" width="9.85546875" customWidth="1"/>
    <col min="7" max="7" width="12.7109375" customWidth="1"/>
    <col min="8" max="18" width="0" hidden="1" customWidth="1"/>
    <col min="21" max="25" width="0" hidden="1" customWidth="1"/>
    <col min="29" max="29" width="0" hidden="1" customWidth="1"/>
    <col min="31" max="41" width="0" hidden="1" customWidth="1"/>
  </cols>
  <sheetData>
    <row r="1" spans="1:60" ht="15.75" customHeight="1" x14ac:dyDescent="0.25">
      <c r="A1" s="377" t="s">
        <v>7</v>
      </c>
      <c r="B1" s="377"/>
      <c r="C1" s="377"/>
      <c r="D1" s="377"/>
      <c r="E1" s="377"/>
      <c r="F1" s="377"/>
      <c r="G1" s="377"/>
      <c r="AG1" t="s">
        <v>89</v>
      </c>
    </row>
    <row r="2" spans="1:60" ht="24.95" customHeight="1" x14ac:dyDescent="0.2">
      <c r="A2" s="50" t="s">
        <v>8</v>
      </c>
      <c r="B2" s="49" t="s">
        <v>43</v>
      </c>
      <c r="C2" s="378" t="s">
        <v>44</v>
      </c>
      <c r="D2" s="379"/>
      <c r="E2" s="379"/>
      <c r="F2" s="379"/>
      <c r="G2" s="380"/>
      <c r="AG2" t="s">
        <v>90</v>
      </c>
    </row>
    <row r="3" spans="1:60" ht="24.95" customHeight="1" x14ac:dyDescent="0.2">
      <c r="A3" s="50" t="s">
        <v>9</v>
      </c>
      <c r="B3" s="49" t="s">
        <v>46</v>
      </c>
      <c r="C3" s="378" t="s">
        <v>47</v>
      </c>
      <c r="D3" s="379"/>
      <c r="E3" s="379"/>
      <c r="F3" s="379"/>
      <c r="G3" s="380"/>
      <c r="AC3" s="120" t="s">
        <v>90</v>
      </c>
      <c r="AG3" t="s">
        <v>91</v>
      </c>
    </row>
    <row r="4" spans="1:60" ht="24.95" customHeight="1" x14ac:dyDescent="0.2">
      <c r="A4" s="139" t="s">
        <v>10</v>
      </c>
      <c r="B4" s="140" t="s">
        <v>46</v>
      </c>
      <c r="C4" s="381" t="s">
        <v>50</v>
      </c>
      <c r="D4" s="382"/>
      <c r="E4" s="382"/>
      <c r="F4" s="382"/>
      <c r="G4" s="383"/>
      <c r="AG4" t="s">
        <v>92</v>
      </c>
    </row>
    <row r="5" spans="1:60" x14ac:dyDescent="0.2">
      <c r="D5" s="10"/>
    </row>
    <row r="6" spans="1:60" ht="38.25" x14ac:dyDescent="0.2">
      <c r="A6" s="142" t="s">
        <v>93</v>
      </c>
      <c r="B6" s="144" t="s">
        <v>94</v>
      </c>
      <c r="C6" s="144" t="s">
        <v>95</v>
      </c>
      <c r="D6" s="143" t="s">
        <v>96</v>
      </c>
      <c r="E6" s="142" t="s">
        <v>97</v>
      </c>
      <c r="F6" s="141" t="s">
        <v>98</v>
      </c>
      <c r="G6" s="142" t="s">
        <v>31</v>
      </c>
      <c r="H6" s="145" t="s">
        <v>32</v>
      </c>
      <c r="I6" s="145" t="s">
        <v>99</v>
      </c>
      <c r="J6" s="145" t="s">
        <v>33</v>
      </c>
      <c r="K6" s="145" t="s">
        <v>100</v>
      </c>
      <c r="L6" s="145" t="s">
        <v>101</v>
      </c>
      <c r="M6" s="145" t="s">
        <v>102</v>
      </c>
      <c r="N6" s="145" t="s">
        <v>103</v>
      </c>
      <c r="O6" s="145" t="s">
        <v>104</v>
      </c>
      <c r="P6" s="145" t="s">
        <v>105</v>
      </c>
      <c r="Q6" s="145" t="s">
        <v>106</v>
      </c>
      <c r="R6" s="145" t="s">
        <v>107</v>
      </c>
      <c r="S6" s="145" t="s">
        <v>108</v>
      </c>
      <c r="T6" s="145" t="s">
        <v>109</v>
      </c>
      <c r="U6" s="145" t="s">
        <v>110</v>
      </c>
      <c r="V6" s="145" t="s">
        <v>111</v>
      </c>
      <c r="W6" s="145" t="s">
        <v>112</v>
      </c>
      <c r="X6" s="145" t="s">
        <v>113</v>
      </c>
      <c r="Y6" s="145" t="s">
        <v>114</v>
      </c>
    </row>
    <row r="7" spans="1:60" hidden="1" x14ac:dyDescent="0.2">
      <c r="A7" s="3"/>
      <c r="B7" s="4"/>
      <c r="C7" s="4"/>
      <c r="D7" s="6"/>
      <c r="E7" s="147"/>
      <c r="F7" s="148"/>
      <c r="G7" s="148"/>
      <c r="H7" s="148"/>
      <c r="I7" s="148"/>
      <c r="J7" s="148"/>
      <c r="K7" s="148"/>
      <c r="L7" s="148"/>
      <c r="M7" s="148"/>
      <c r="N7" s="147"/>
      <c r="O7" s="147"/>
      <c r="P7" s="147"/>
      <c r="Q7" s="147"/>
      <c r="R7" s="148"/>
      <c r="S7" s="148"/>
      <c r="T7" s="148"/>
      <c r="U7" s="148"/>
      <c r="V7" s="148"/>
      <c r="W7" s="148"/>
      <c r="X7" s="148"/>
      <c r="Y7" s="148"/>
    </row>
    <row r="8" spans="1:60" x14ac:dyDescent="0.2">
      <c r="A8" s="158" t="s">
        <v>115</v>
      </c>
      <c r="B8" s="159" t="s">
        <v>62</v>
      </c>
      <c r="C8" s="173" t="s">
        <v>63</v>
      </c>
      <c r="D8" s="160"/>
      <c r="E8" s="161"/>
      <c r="F8" s="162"/>
      <c r="G8" s="162">
        <f>SUMIF(AG9:AG18,"&lt;&gt;NOR",G9:G18)</f>
        <v>0</v>
      </c>
      <c r="H8" s="162"/>
      <c r="I8" s="162">
        <f>SUM(I9:I18)</f>
        <v>29770.29</v>
      </c>
      <c r="J8" s="162"/>
      <c r="K8" s="162">
        <f>SUM(K9:K18)</f>
        <v>20052.939999999999</v>
      </c>
      <c r="L8" s="162"/>
      <c r="M8" s="162">
        <f>SUM(M9:M18)</f>
        <v>0</v>
      </c>
      <c r="N8" s="161"/>
      <c r="O8" s="161">
        <f>SUM(O9:O18)</f>
        <v>0.78</v>
      </c>
      <c r="P8" s="161"/>
      <c r="Q8" s="161">
        <f>SUM(Q9:Q18)</f>
        <v>0</v>
      </c>
      <c r="R8" s="162"/>
      <c r="S8" s="162"/>
      <c r="T8" s="163"/>
      <c r="U8" s="157"/>
      <c r="V8" s="157">
        <f>SUM(V9:V18)</f>
        <v>25.98</v>
      </c>
      <c r="W8" s="157"/>
      <c r="X8" s="157"/>
      <c r="Y8" s="157"/>
      <c r="AG8" t="s">
        <v>116</v>
      </c>
    </row>
    <row r="9" spans="1:60" ht="45" outlineLevel="1" x14ac:dyDescent="0.2">
      <c r="A9" s="165">
        <v>1</v>
      </c>
      <c r="B9" s="166" t="s">
        <v>136</v>
      </c>
      <c r="C9" s="174" t="s">
        <v>137</v>
      </c>
      <c r="D9" s="167" t="s">
        <v>138</v>
      </c>
      <c r="E9" s="168">
        <v>1.68</v>
      </c>
      <c r="F9" s="169"/>
      <c r="G9" s="170">
        <f>ROUND(E9*F9,2)</f>
        <v>0</v>
      </c>
      <c r="H9" s="169">
        <v>747.99</v>
      </c>
      <c r="I9" s="170">
        <f>ROUND(E9*H9,2)</f>
        <v>1256.6199999999999</v>
      </c>
      <c r="J9" s="169">
        <v>764.01</v>
      </c>
      <c r="K9" s="170">
        <f>ROUND(E9*J9,2)</f>
        <v>1283.54</v>
      </c>
      <c r="L9" s="170">
        <v>21</v>
      </c>
      <c r="M9" s="170">
        <f>G9*(1+L9/100)</f>
        <v>0</v>
      </c>
      <c r="N9" s="168">
        <v>2.3619999999999999E-2</v>
      </c>
      <c r="O9" s="168">
        <f>ROUND(E9*N9,2)</f>
        <v>0.04</v>
      </c>
      <c r="P9" s="168">
        <v>0</v>
      </c>
      <c r="Q9" s="168">
        <f>ROUND(E9*P9,2)</f>
        <v>0</v>
      </c>
      <c r="R9" s="170"/>
      <c r="S9" s="170" t="s">
        <v>118</v>
      </c>
      <c r="T9" s="171" t="s">
        <v>118</v>
      </c>
      <c r="U9" s="156">
        <v>0.99</v>
      </c>
      <c r="V9" s="156">
        <f>ROUND(E9*U9,2)</f>
        <v>1.66</v>
      </c>
      <c r="W9" s="156"/>
      <c r="X9" s="156" t="s">
        <v>139</v>
      </c>
      <c r="Y9" s="156" t="s">
        <v>120</v>
      </c>
      <c r="Z9" s="146"/>
      <c r="AA9" s="146"/>
      <c r="AB9" s="146"/>
      <c r="AC9" s="146"/>
      <c r="AD9" s="146"/>
      <c r="AE9" s="146"/>
      <c r="AF9" s="146"/>
      <c r="AG9" s="146" t="s">
        <v>140</v>
      </c>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row>
    <row r="10" spans="1:60" outlineLevel="2" x14ac:dyDescent="0.2">
      <c r="A10" s="153"/>
      <c r="B10" s="154"/>
      <c r="C10" s="187" t="s">
        <v>141</v>
      </c>
      <c r="D10" s="178"/>
      <c r="E10" s="179">
        <v>1.68</v>
      </c>
      <c r="F10" s="156"/>
      <c r="G10" s="156"/>
      <c r="H10" s="156"/>
      <c r="I10" s="156"/>
      <c r="J10" s="156"/>
      <c r="K10" s="156"/>
      <c r="L10" s="156"/>
      <c r="M10" s="156"/>
      <c r="N10" s="155"/>
      <c r="O10" s="155"/>
      <c r="P10" s="155"/>
      <c r="Q10" s="155"/>
      <c r="R10" s="156"/>
      <c r="S10" s="156"/>
      <c r="T10" s="156"/>
      <c r="U10" s="156"/>
      <c r="V10" s="156"/>
      <c r="W10" s="156"/>
      <c r="X10" s="156"/>
      <c r="Y10" s="156"/>
      <c r="Z10" s="146"/>
      <c r="AA10" s="146"/>
      <c r="AB10" s="146"/>
      <c r="AC10" s="146"/>
      <c r="AD10" s="146"/>
      <c r="AE10" s="146"/>
      <c r="AF10" s="146"/>
      <c r="AG10" s="146" t="s">
        <v>142</v>
      </c>
      <c r="AH10" s="146">
        <v>0</v>
      </c>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row>
    <row r="11" spans="1:60" ht="56.25" outlineLevel="1" x14ac:dyDescent="0.2">
      <c r="A11" s="165">
        <v>2</v>
      </c>
      <c r="B11" s="166" t="s">
        <v>143</v>
      </c>
      <c r="C11" s="174" t="s">
        <v>144</v>
      </c>
      <c r="D11" s="167" t="s">
        <v>138</v>
      </c>
      <c r="E11" s="168">
        <v>14.249700000000001</v>
      </c>
      <c r="F11" s="169"/>
      <c r="G11" s="170">
        <f>ROUND(E11*F11,2)</f>
        <v>0</v>
      </c>
      <c r="H11" s="169">
        <v>1261.79</v>
      </c>
      <c r="I11" s="170">
        <f>ROUND(E11*H11,2)</f>
        <v>17980.13</v>
      </c>
      <c r="J11" s="169">
        <v>993.21</v>
      </c>
      <c r="K11" s="170">
        <f>ROUND(E11*J11,2)</f>
        <v>14152.94</v>
      </c>
      <c r="L11" s="170">
        <v>21</v>
      </c>
      <c r="M11" s="170">
        <f>G11*(1+L11/100)</f>
        <v>0</v>
      </c>
      <c r="N11" s="168">
        <v>4.3700000000000003E-2</v>
      </c>
      <c r="O11" s="168">
        <f>ROUND(E11*N11,2)</f>
        <v>0.62</v>
      </c>
      <c r="P11" s="168">
        <v>0</v>
      </c>
      <c r="Q11" s="168">
        <f>ROUND(E11*P11,2)</f>
        <v>0</v>
      </c>
      <c r="R11" s="170"/>
      <c r="S11" s="170" t="s">
        <v>118</v>
      </c>
      <c r="T11" s="171" t="s">
        <v>118</v>
      </c>
      <c r="U11" s="156">
        <v>1.2869999999999999</v>
      </c>
      <c r="V11" s="156">
        <f>ROUND(E11*U11,2)</f>
        <v>18.34</v>
      </c>
      <c r="W11" s="156"/>
      <c r="X11" s="156" t="s">
        <v>139</v>
      </c>
      <c r="Y11" s="156" t="s">
        <v>120</v>
      </c>
      <c r="Z11" s="146"/>
      <c r="AA11" s="146"/>
      <c r="AB11" s="146"/>
      <c r="AC11" s="146"/>
      <c r="AD11" s="146"/>
      <c r="AE11" s="146"/>
      <c r="AF11" s="146"/>
      <c r="AG11" s="146" t="s">
        <v>140</v>
      </c>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row>
    <row r="12" spans="1:60" outlineLevel="2" x14ac:dyDescent="0.2">
      <c r="A12" s="153"/>
      <c r="B12" s="154"/>
      <c r="C12" s="187" t="s">
        <v>145</v>
      </c>
      <c r="D12" s="178"/>
      <c r="E12" s="179">
        <v>5.556</v>
      </c>
      <c r="F12" s="156"/>
      <c r="G12" s="156"/>
      <c r="H12" s="156"/>
      <c r="I12" s="156"/>
      <c r="J12" s="156"/>
      <c r="K12" s="156"/>
      <c r="L12" s="156"/>
      <c r="M12" s="156"/>
      <c r="N12" s="155"/>
      <c r="O12" s="155"/>
      <c r="P12" s="155"/>
      <c r="Q12" s="155"/>
      <c r="R12" s="156"/>
      <c r="S12" s="156"/>
      <c r="T12" s="156"/>
      <c r="U12" s="156"/>
      <c r="V12" s="156"/>
      <c r="W12" s="156"/>
      <c r="X12" s="156"/>
      <c r="Y12" s="156"/>
      <c r="Z12" s="146"/>
      <c r="AA12" s="146"/>
      <c r="AB12" s="146"/>
      <c r="AC12" s="146"/>
      <c r="AD12" s="146"/>
      <c r="AE12" s="146"/>
      <c r="AF12" s="146"/>
      <c r="AG12" s="146" t="s">
        <v>142</v>
      </c>
      <c r="AH12" s="146">
        <v>0</v>
      </c>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row>
    <row r="13" spans="1:60" outlineLevel="3" x14ac:dyDescent="0.2">
      <c r="A13" s="153"/>
      <c r="B13" s="154"/>
      <c r="C13" s="187" t="s">
        <v>146</v>
      </c>
      <c r="D13" s="178"/>
      <c r="E13" s="179">
        <v>-1.89</v>
      </c>
      <c r="F13" s="156"/>
      <c r="G13" s="156"/>
      <c r="H13" s="156"/>
      <c r="I13" s="156"/>
      <c r="J13" s="156"/>
      <c r="K13" s="156"/>
      <c r="L13" s="156"/>
      <c r="M13" s="156"/>
      <c r="N13" s="155"/>
      <c r="O13" s="155"/>
      <c r="P13" s="155"/>
      <c r="Q13" s="155"/>
      <c r="R13" s="156"/>
      <c r="S13" s="156"/>
      <c r="T13" s="156"/>
      <c r="U13" s="156"/>
      <c r="V13" s="156"/>
      <c r="W13" s="156"/>
      <c r="X13" s="156"/>
      <c r="Y13" s="156"/>
      <c r="Z13" s="146"/>
      <c r="AA13" s="146"/>
      <c r="AB13" s="146"/>
      <c r="AC13" s="146"/>
      <c r="AD13" s="146"/>
      <c r="AE13" s="146"/>
      <c r="AF13" s="146"/>
      <c r="AG13" s="146" t="s">
        <v>142</v>
      </c>
      <c r="AH13" s="146">
        <v>0</v>
      </c>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row>
    <row r="14" spans="1:60" outlineLevel="3" x14ac:dyDescent="0.2">
      <c r="A14" s="153"/>
      <c r="B14" s="154"/>
      <c r="C14" s="187" t="s">
        <v>147</v>
      </c>
      <c r="D14" s="178"/>
      <c r="E14" s="179">
        <v>13.044</v>
      </c>
      <c r="F14" s="156"/>
      <c r="G14" s="156"/>
      <c r="H14" s="156"/>
      <c r="I14" s="156"/>
      <c r="J14" s="156"/>
      <c r="K14" s="156"/>
      <c r="L14" s="156"/>
      <c r="M14" s="156"/>
      <c r="N14" s="155"/>
      <c r="O14" s="155"/>
      <c r="P14" s="155"/>
      <c r="Q14" s="155"/>
      <c r="R14" s="156"/>
      <c r="S14" s="156"/>
      <c r="T14" s="156"/>
      <c r="U14" s="156"/>
      <c r="V14" s="156"/>
      <c r="W14" s="156"/>
      <c r="X14" s="156"/>
      <c r="Y14" s="156"/>
      <c r="Z14" s="146"/>
      <c r="AA14" s="146"/>
      <c r="AB14" s="146"/>
      <c r="AC14" s="146"/>
      <c r="AD14" s="146"/>
      <c r="AE14" s="146"/>
      <c r="AF14" s="146"/>
      <c r="AG14" s="146" t="s">
        <v>142</v>
      </c>
      <c r="AH14" s="146">
        <v>0</v>
      </c>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row>
    <row r="15" spans="1:60" outlineLevel="3" x14ac:dyDescent="0.2">
      <c r="A15" s="153"/>
      <c r="B15" s="154"/>
      <c r="C15" s="187" t="s">
        <v>148</v>
      </c>
      <c r="D15" s="178"/>
      <c r="E15" s="179">
        <v>-2.4603000000000002</v>
      </c>
      <c r="F15" s="156"/>
      <c r="G15" s="156"/>
      <c r="H15" s="156"/>
      <c r="I15" s="156"/>
      <c r="J15" s="156"/>
      <c r="K15" s="156"/>
      <c r="L15" s="156"/>
      <c r="M15" s="156"/>
      <c r="N15" s="155"/>
      <c r="O15" s="155"/>
      <c r="P15" s="155"/>
      <c r="Q15" s="155"/>
      <c r="R15" s="156"/>
      <c r="S15" s="156"/>
      <c r="T15" s="156"/>
      <c r="U15" s="156"/>
      <c r="V15" s="156"/>
      <c r="W15" s="156"/>
      <c r="X15" s="156"/>
      <c r="Y15" s="156"/>
      <c r="Z15" s="146"/>
      <c r="AA15" s="146"/>
      <c r="AB15" s="146"/>
      <c r="AC15" s="146"/>
      <c r="AD15" s="146"/>
      <c r="AE15" s="146"/>
      <c r="AF15" s="146"/>
      <c r="AG15" s="146" t="s">
        <v>142</v>
      </c>
      <c r="AH15" s="146">
        <v>0</v>
      </c>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row>
    <row r="16" spans="1:60" ht="22.5" outlineLevel="1" x14ac:dyDescent="0.2">
      <c r="A16" s="165">
        <v>3</v>
      </c>
      <c r="B16" s="166" t="s">
        <v>149</v>
      </c>
      <c r="C16" s="174" t="s">
        <v>150</v>
      </c>
      <c r="D16" s="167" t="s">
        <v>151</v>
      </c>
      <c r="E16" s="168">
        <v>6</v>
      </c>
      <c r="F16" s="169"/>
      <c r="G16" s="170">
        <f>ROUND(E16*F16,2)</f>
        <v>0</v>
      </c>
      <c r="H16" s="169">
        <v>1755.59</v>
      </c>
      <c r="I16" s="170">
        <f>ROUND(E16*H16,2)</f>
        <v>10533.54</v>
      </c>
      <c r="J16" s="169">
        <v>769.41</v>
      </c>
      <c r="K16" s="170">
        <f>ROUND(E16*J16,2)</f>
        <v>4616.46</v>
      </c>
      <c r="L16" s="170">
        <v>21</v>
      </c>
      <c r="M16" s="170">
        <f>G16*(1+L16/100)</f>
        <v>0</v>
      </c>
      <c r="N16" s="168">
        <v>1.934E-2</v>
      </c>
      <c r="O16" s="168">
        <f>ROUND(E16*N16,2)</f>
        <v>0.12</v>
      </c>
      <c r="P16" s="168">
        <v>0</v>
      </c>
      <c r="Q16" s="168">
        <f>ROUND(E16*P16,2)</f>
        <v>0</v>
      </c>
      <c r="R16" s="170"/>
      <c r="S16" s="170" t="s">
        <v>118</v>
      </c>
      <c r="T16" s="171" t="s">
        <v>118</v>
      </c>
      <c r="U16" s="156">
        <v>0.997</v>
      </c>
      <c r="V16" s="156">
        <f>ROUND(E16*U16,2)</f>
        <v>5.98</v>
      </c>
      <c r="W16" s="156"/>
      <c r="X16" s="156" t="s">
        <v>139</v>
      </c>
      <c r="Y16" s="156" t="s">
        <v>120</v>
      </c>
      <c r="Z16" s="146"/>
      <c r="AA16" s="146"/>
      <c r="AB16" s="146"/>
      <c r="AC16" s="146"/>
      <c r="AD16" s="146"/>
      <c r="AE16" s="146"/>
      <c r="AF16" s="146"/>
      <c r="AG16" s="146" t="s">
        <v>140</v>
      </c>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row>
    <row r="17" spans="1:60" outlineLevel="2" x14ac:dyDescent="0.2">
      <c r="A17" s="153"/>
      <c r="B17" s="154"/>
      <c r="C17" s="187" t="s">
        <v>152</v>
      </c>
      <c r="D17" s="178"/>
      <c r="E17" s="179">
        <v>2</v>
      </c>
      <c r="F17" s="156"/>
      <c r="G17" s="156"/>
      <c r="H17" s="156"/>
      <c r="I17" s="156"/>
      <c r="J17" s="156"/>
      <c r="K17" s="156"/>
      <c r="L17" s="156"/>
      <c r="M17" s="156"/>
      <c r="N17" s="155"/>
      <c r="O17" s="155"/>
      <c r="P17" s="155"/>
      <c r="Q17" s="155"/>
      <c r="R17" s="156"/>
      <c r="S17" s="156"/>
      <c r="T17" s="156"/>
      <c r="U17" s="156"/>
      <c r="V17" s="156"/>
      <c r="W17" s="156"/>
      <c r="X17" s="156"/>
      <c r="Y17" s="156"/>
      <c r="Z17" s="146"/>
      <c r="AA17" s="146"/>
      <c r="AB17" s="146"/>
      <c r="AC17" s="146"/>
      <c r="AD17" s="146"/>
      <c r="AE17" s="146"/>
      <c r="AF17" s="146"/>
      <c r="AG17" s="146" t="s">
        <v>142</v>
      </c>
      <c r="AH17" s="146">
        <v>0</v>
      </c>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row>
    <row r="18" spans="1:60" outlineLevel="3" x14ac:dyDescent="0.2">
      <c r="A18" s="153"/>
      <c r="B18" s="154"/>
      <c r="C18" s="187" t="s">
        <v>153</v>
      </c>
      <c r="D18" s="178"/>
      <c r="E18" s="179">
        <v>4</v>
      </c>
      <c r="F18" s="156"/>
      <c r="G18" s="156"/>
      <c r="H18" s="156"/>
      <c r="I18" s="156"/>
      <c r="J18" s="156"/>
      <c r="K18" s="156"/>
      <c r="L18" s="156"/>
      <c r="M18" s="156"/>
      <c r="N18" s="155"/>
      <c r="O18" s="155"/>
      <c r="P18" s="155"/>
      <c r="Q18" s="155"/>
      <c r="R18" s="156"/>
      <c r="S18" s="156"/>
      <c r="T18" s="156"/>
      <c r="U18" s="156"/>
      <c r="V18" s="156"/>
      <c r="W18" s="156"/>
      <c r="X18" s="156"/>
      <c r="Y18" s="156"/>
      <c r="Z18" s="146"/>
      <c r="AA18" s="146"/>
      <c r="AB18" s="146"/>
      <c r="AC18" s="146"/>
      <c r="AD18" s="146"/>
      <c r="AE18" s="146"/>
      <c r="AF18" s="146"/>
      <c r="AG18" s="146" t="s">
        <v>142</v>
      </c>
      <c r="AH18" s="146">
        <v>0</v>
      </c>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row>
    <row r="19" spans="1:60" x14ac:dyDescent="0.2">
      <c r="A19" s="158" t="s">
        <v>115</v>
      </c>
      <c r="B19" s="159" t="s">
        <v>64</v>
      </c>
      <c r="C19" s="173" t="s">
        <v>65</v>
      </c>
      <c r="D19" s="160"/>
      <c r="E19" s="161"/>
      <c r="F19" s="162"/>
      <c r="G19" s="162">
        <f>SUMIF(AG20:AG21,"&lt;&gt;NOR",G20:G21)</f>
        <v>0</v>
      </c>
      <c r="H19" s="162"/>
      <c r="I19" s="162">
        <f>SUM(I20:I21)</f>
        <v>778.07</v>
      </c>
      <c r="J19" s="162"/>
      <c r="K19" s="162">
        <f>SUM(K20:K21)</f>
        <v>1413.6999999999998</v>
      </c>
      <c r="L19" s="162"/>
      <c r="M19" s="162">
        <f>SUM(M20:M21)</f>
        <v>0</v>
      </c>
      <c r="N19" s="161"/>
      <c r="O19" s="161">
        <f>SUM(O20:O21)</f>
        <v>0.03</v>
      </c>
      <c r="P19" s="161"/>
      <c r="Q19" s="161">
        <f>SUM(Q20:Q21)</f>
        <v>0</v>
      </c>
      <c r="R19" s="162"/>
      <c r="S19" s="162"/>
      <c r="T19" s="163"/>
      <c r="U19" s="157"/>
      <c r="V19" s="157">
        <f>SUM(V20:V21)</f>
        <v>1.94</v>
      </c>
      <c r="W19" s="157"/>
      <c r="X19" s="157"/>
      <c r="Y19" s="157"/>
      <c r="AG19" t="s">
        <v>116</v>
      </c>
    </row>
    <row r="20" spans="1:60" ht="22.5" outlineLevel="1" x14ac:dyDescent="0.2">
      <c r="A20" s="180">
        <v>4</v>
      </c>
      <c r="B20" s="181" t="s">
        <v>154</v>
      </c>
      <c r="C20" s="188" t="s">
        <v>155</v>
      </c>
      <c r="D20" s="182" t="s">
        <v>138</v>
      </c>
      <c r="E20" s="183">
        <v>4.9000000000000004</v>
      </c>
      <c r="F20" s="184"/>
      <c r="G20" s="185">
        <f>ROUND(E20*F20,2)</f>
        <v>0</v>
      </c>
      <c r="H20" s="184">
        <v>158.79</v>
      </c>
      <c r="I20" s="185">
        <f>ROUND(E20*H20,2)</f>
        <v>778.07</v>
      </c>
      <c r="J20" s="184">
        <v>232.21</v>
      </c>
      <c r="K20" s="185">
        <f>ROUND(E20*J20,2)</f>
        <v>1137.83</v>
      </c>
      <c r="L20" s="185">
        <v>21</v>
      </c>
      <c r="M20" s="185">
        <f>G20*(1+L20/100)</f>
        <v>0</v>
      </c>
      <c r="N20" s="183">
        <v>6.4599999999999996E-3</v>
      </c>
      <c r="O20" s="183">
        <f>ROUND(E20*N20,2)</f>
        <v>0.03</v>
      </c>
      <c r="P20" s="183">
        <v>0</v>
      </c>
      <c r="Q20" s="183">
        <f>ROUND(E20*P20,2)</f>
        <v>0</v>
      </c>
      <c r="R20" s="185"/>
      <c r="S20" s="185" t="s">
        <v>118</v>
      </c>
      <c r="T20" s="186" t="s">
        <v>118</v>
      </c>
      <c r="U20" s="156">
        <v>0.34399999999999997</v>
      </c>
      <c r="V20" s="156">
        <f>ROUND(E20*U20,2)</f>
        <v>1.69</v>
      </c>
      <c r="W20" s="156"/>
      <c r="X20" s="156" t="s">
        <v>139</v>
      </c>
      <c r="Y20" s="156" t="s">
        <v>120</v>
      </c>
      <c r="Z20" s="146"/>
      <c r="AA20" s="146"/>
      <c r="AB20" s="146"/>
      <c r="AC20" s="146"/>
      <c r="AD20" s="146"/>
      <c r="AE20" s="146"/>
      <c r="AF20" s="146"/>
      <c r="AG20" s="146" t="s">
        <v>140</v>
      </c>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row>
    <row r="21" spans="1:60" outlineLevel="1" x14ac:dyDescent="0.2">
      <c r="A21" s="180">
        <v>5</v>
      </c>
      <c r="B21" s="181" t="s">
        <v>156</v>
      </c>
      <c r="C21" s="188" t="s">
        <v>157</v>
      </c>
      <c r="D21" s="182" t="s">
        <v>138</v>
      </c>
      <c r="E21" s="183">
        <v>4.9000000000000004</v>
      </c>
      <c r="F21" s="184"/>
      <c r="G21" s="185">
        <f>ROUND(E21*F21,2)</f>
        <v>0</v>
      </c>
      <c r="H21" s="184">
        <v>0</v>
      </c>
      <c r="I21" s="185">
        <f>ROUND(E21*H21,2)</f>
        <v>0</v>
      </c>
      <c r="J21" s="184">
        <v>56.3</v>
      </c>
      <c r="K21" s="185">
        <f>ROUND(E21*J21,2)</f>
        <v>275.87</v>
      </c>
      <c r="L21" s="185">
        <v>21</v>
      </c>
      <c r="M21" s="185">
        <f>G21*(1+L21/100)</f>
        <v>0</v>
      </c>
      <c r="N21" s="183">
        <v>0</v>
      </c>
      <c r="O21" s="183">
        <f>ROUND(E21*N21,2)</f>
        <v>0</v>
      </c>
      <c r="P21" s="183">
        <v>0</v>
      </c>
      <c r="Q21" s="183">
        <f>ROUND(E21*P21,2)</f>
        <v>0</v>
      </c>
      <c r="R21" s="185"/>
      <c r="S21" s="185" t="s">
        <v>118</v>
      </c>
      <c r="T21" s="186" t="s">
        <v>118</v>
      </c>
      <c r="U21" s="156">
        <v>0.05</v>
      </c>
      <c r="V21" s="156">
        <f>ROUND(E21*U21,2)</f>
        <v>0.25</v>
      </c>
      <c r="W21" s="156"/>
      <c r="X21" s="156" t="s">
        <v>139</v>
      </c>
      <c r="Y21" s="156" t="s">
        <v>120</v>
      </c>
      <c r="Z21" s="146"/>
      <c r="AA21" s="146"/>
      <c r="AB21" s="146"/>
      <c r="AC21" s="146"/>
      <c r="AD21" s="146"/>
      <c r="AE21" s="146"/>
      <c r="AF21" s="146"/>
      <c r="AG21" s="146" t="s">
        <v>140</v>
      </c>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row>
    <row r="22" spans="1:60" x14ac:dyDescent="0.2">
      <c r="A22" s="158" t="s">
        <v>115</v>
      </c>
      <c r="B22" s="159" t="s">
        <v>66</v>
      </c>
      <c r="C22" s="173" t="s">
        <v>67</v>
      </c>
      <c r="D22" s="160"/>
      <c r="E22" s="161"/>
      <c r="F22" s="162"/>
      <c r="G22" s="162">
        <f>SUMIF(AG23:AG24,"&lt;&gt;NOR",G23:G24)</f>
        <v>0</v>
      </c>
      <c r="H22" s="162"/>
      <c r="I22" s="162">
        <f>SUM(I23:I24)</f>
        <v>7925.52</v>
      </c>
      <c r="J22" s="162"/>
      <c r="K22" s="162">
        <f>SUM(K23:K24)</f>
        <v>1280.48</v>
      </c>
      <c r="L22" s="162"/>
      <c r="M22" s="162">
        <f>SUM(M23:M24)</f>
        <v>0</v>
      </c>
      <c r="N22" s="161"/>
      <c r="O22" s="161">
        <f>SUM(O23:O24)</f>
        <v>0.04</v>
      </c>
      <c r="P22" s="161"/>
      <c r="Q22" s="161">
        <f>SUM(Q23:Q24)</f>
        <v>0</v>
      </c>
      <c r="R22" s="162"/>
      <c r="S22" s="162"/>
      <c r="T22" s="163"/>
      <c r="U22" s="157"/>
      <c r="V22" s="157">
        <f>SUM(V23:V24)</f>
        <v>1.86</v>
      </c>
      <c r="W22" s="157"/>
      <c r="X22" s="157"/>
      <c r="Y22" s="157"/>
      <c r="AG22" t="s">
        <v>116</v>
      </c>
    </row>
    <row r="23" spans="1:60" outlineLevel="1" x14ac:dyDescent="0.2">
      <c r="A23" s="180">
        <v>6</v>
      </c>
      <c r="B23" s="181" t="s">
        <v>158</v>
      </c>
      <c r="C23" s="188" t="s">
        <v>159</v>
      </c>
      <c r="D23" s="182" t="s">
        <v>151</v>
      </c>
      <c r="E23" s="183">
        <v>1</v>
      </c>
      <c r="F23" s="184"/>
      <c r="G23" s="185">
        <f>ROUND(E23*F23,2)</f>
        <v>0</v>
      </c>
      <c r="H23" s="184">
        <v>25.52</v>
      </c>
      <c r="I23" s="185">
        <f>ROUND(E23*H23,2)</f>
        <v>25.52</v>
      </c>
      <c r="J23" s="184">
        <v>1280.48</v>
      </c>
      <c r="K23" s="185">
        <f>ROUND(E23*J23,2)</f>
        <v>1280.48</v>
      </c>
      <c r="L23" s="185">
        <v>21</v>
      </c>
      <c r="M23" s="185">
        <f>G23*(1+L23/100)</f>
        <v>0</v>
      </c>
      <c r="N23" s="183">
        <v>1.8970000000000001E-2</v>
      </c>
      <c r="O23" s="183">
        <f>ROUND(E23*N23,2)</f>
        <v>0.02</v>
      </c>
      <c r="P23" s="183">
        <v>0</v>
      </c>
      <c r="Q23" s="183">
        <f>ROUND(E23*P23,2)</f>
        <v>0</v>
      </c>
      <c r="R23" s="185"/>
      <c r="S23" s="185" t="s">
        <v>118</v>
      </c>
      <c r="T23" s="186" t="s">
        <v>118</v>
      </c>
      <c r="U23" s="156">
        <v>1.86</v>
      </c>
      <c r="V23" s="156">
        <f>ROUND(E23*U23,2)</f>
        <v>1.86</v>
      </c>
      <c r="W23" s="156"/>
      <c r="X23" s="156" t="s">
        <v>139</v>
      </c>
      <c r="Y23" s="156" t="s">
        <v>120</v>
      </c>
      <c r="Z23" s="146"/>
      <c r="AA23" s="146"/>
      <c r="AB23" s="146"/>
      <c r="AC23" s="146"/>
      <c r="AD23" s="146"/>
      <c r="AE23" s="146"/>
      <c r="AF23" s="146"/>
      <c r="AG23" s="146" t="s">
        <v>140</v>
      </c>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row>
    <row r="24" spans="1:60" ht="33.75" outlineLevel="1" x14ac:dyDescent="0.2">
      <c r="A24" s="180">
        <v>7</v>
      </c>
      <c r="B24" s="181" t="s">
        <v>160</v>
      </c>
      <c r="C24" s="188" t="s">
        <v>161</v>
      </c>
      <c r="D24" s="182" t="s">
        <v>151</v>
      </c>
      <c r="E24" s="183">
        <v>1</v>
      </c>
      <c r="F24" s="184"/>
      <c r="G24" s="185">
        <f>ROUND(E24*F24,2)</f>
        <v>0</v>
      </c>
      <c r="H24" s="184">
        <v>7900</v>
      </c>
      <c r="I24" s="185">
        <f>ROUND(E24*H24,2)</f>
        <v>7900</v>
      </c>
      <c r="J24" s="184">
        <v>0</v>
      </c>
      <c r="K24" s="185">
        <f>ROUND(E24*J24,2)</f>
        <v>0</v>
      </c>
      <c r="L24" s="185">
        <v>21</v>
      </c>
      <c r="M24" s="185">
        <f>G24*(1+L24/100)</f>
        <v>0</v>
      </c>
      <c r="N24" s="183">
        <v>1.78E-2</v>
      </c>
      <c r="O24" s="183">
        <f>ROUND(E24*N24,2)</f>
        <v>0.02</v>
      </c>
      <c r="P24" s="183">
        <v>0</v>
      </c>
      <c r="Q24" s="183">
        <f>ROUND(E24*P24,2)</f>
        <v>0</v>
      </c>
      <c r="R24" s="185"/>
      <c r="S24" s="185" t="s">
        <v>162</v>
      </c>
      <c r="T24" s="186" t="s">
        <v>119</v>
      </c>
      <c r="U24" s="156">
        <v>0</v>
      </c>
      <c r="V24" s="156">
        <f>ROUND(E24*U24,2)</f>
        <v>0</v>
      </c>
      <c r="W24" s="156"/>
      <c r="X24" s="156" t="s">
        <v>163</v>
      </c>
      <c r="Y24" s="156" t="s">
        <v>120</v>
      </c>
      <c r="Z24" s="146"/>
      <c r="AA24" s="146"/>
      <c r="AB24" s="146"/>
      <c r="AC24" s="146"/>
      <c r="AD24" s="146"/>
      <c r="AE24" s="146"/>
      <c r="AF24" s="146"/>
      <c r="AG24" s="146" t="s">
        <v>164</v>
      </c>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row>
    <row r="25" spans="1:60" x14ac:dyDescent="0.2">
      <c r="A25" s="158" t="s">
        <v>115</v>
      </c>
      <c r="B25" s="159" t="s">
        <v>68</v>
      </c>
      <c r="C25" s="173" t="s">
        <v>69</v>
      </c>
      <c r="D25" s="160"/>
      <c r="E25" s="161"/>
      <c r="F25" s="162"/>
      <c r="G25" s="162">
        <f>SUMIF(AG26:AG27,"&lt;&gt;NOR",G26:G27)</f>
        <v>0</v>
      </c>
      <c r="H25" s="162"/>
      <c r="I25" s="162">
        <f>SUM(I26:I27)</f>
        <v>1143.94</v>
      </c>
      <c r="J25" s="162"/>
      <c r="K25" s="162">
        <f>SUM(K26:K27)</f>
        <v>2578.46</v>
      </c>
      <c r="L25" s="162"/>
      <c r="M25" s="162">
        <f>SUM(M26:M27)</f>
        <v>0</v>
      </c>
      <c r="N25" s="161"/>
      <c r="O25" s="161">
        <f>SUM(O26:O27)</f>
        <v>0.03</v>
      </c>
      <c r="P25" s="161"/>
      <c r="Q25" s="161">
        <f>SUM(Q26:Q27)</f>
        <v>0</v>
      </c>
      <c r="R25" s="162"/>
      <c r="S25" s="162"/>
      <c r="T25" s="163"/>
      <c r="U25" s="157"/>
      <c r="V25" s="157">
        <f>SUM(V26:V27)</f>
        <v>4.12</v>
      </c>
      <c r="W25" s="157"/>
      <c r="X25" s="157"/>
      <c r="Y25" s="157"/>
      <c r="AG25" t="s">
        <v>116</v>
      </c>
    </row>
    <row r="26" spans="1:60" outlineLevel="1" x14ac:dyDescent="0.2">
      <c r="A26" s="165">
        <v>8</v>
      </c>
      <c r="B26" s="166" t="s">
        <v>165</v>
      </c>
      <c r="C26" s="174" t="s">
        <v>166</v>
      </c>
      <c r="D26" s="167" t="s">
        <v>138</v>
      </c>
      <c r="E26" s="168">
        <v>23.265000000000001</v>
      </c>
      <c r="F26" s="169"/>
      <c r="G26" s="170">
        <f>ROUND(E26*F26,2)</f>
        <v>0</v>
      </c>
      <c r="H26" s="169">
        <v>49.17</v>
      </c>
      <c r="I26" s="170">
        <f>ROUND(E26*H26,2)</f>
        <v>1143.94</v>
      </c>
      <c r="J26" s="169">
        <v>110.83</v>
      </c>
      <c r="K26" s="170">
        <f>ROUND(E26*J26,2)</f>
        <v>2578.46</v>
      </c>
      <c r="L26" s="170">
        <v>21</v>
      </c>
      <c r="M26" s="170">
        <f>G26*(1+L26/100)</f>
        <v>0</v>
      </c>
      <c r="N26" s="168">
        <v>1.2099999999999999E-3</v>
      </c>
      <c r="O26" s="168">
        <f>ROUND(E26*N26,2)</f>
        <v>0.03</v>
      </c>
      <c r="P26" s="168">
        <v>0</v>
      </c>
      <c r="Q26" s="168">
        <f>ROUND(E26*P26,2)</f>
        <v>0</v>
      </c>
      <c r="R26" s="170"/>
      <c r="S26" s="170" t="s">
        <v>118</v>
      </c>
      <c r="T26" s="171" t="s">
        <v>118</v>
      </c>
      <c r="U26" s="156">
        <v>0.17699999999999999</v>
      </c>
      <c r="V26" s="156">
        <f>ROUND(E26*U26,2)</f>
        <v>4.12</v>
      </c>
      <c r="W26" s="156"/>
      <c r="X26" s="156" t="s">
        <v>139</v>
      </c>
      <c r="Y26" s="156" t="s">
        <v>120</v>
      </c>
      <c r="Z26" s="146"/>
      <c r="AA26" s="146"/>
      <c r="AB26" s="146"/>
      <c r="AC26" s="146"/>
      <c r="AD26" s="146"/>
      <c r="AE26" s="146"/>
      <c r="AF26" s="146"/>
      <c r="AG26" s="146" t="s">
        <v>140</v>
      </c>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row>
    <row r="27" spans="1:60" outlineLevel="2" x14ac:dyDescent="0.2">
      <c r="A27" s="153"/>
      <c r="B27" s="154"/>
      <c r="C27" s="187" t="s">
        <v>167</v>
      </c>
      <c r="D27" s="178"/>
      <c r="E27" s="179">
        <v>23.265000000000001</v>
      </c>
      <c r="F27" s="156"/>
      <c r="G27" s="156"/>
      <c r="H27" s="156"/>
      <c r="I27" s="156"/>
      <c r="J27" s="156"/>
      <c r="K27" s="156"/>
      <c r="L27" s="156"/>
      <c r="M27" s="156"/>
      <c r="N27" s="155"/>
      <c r="O27" s="155"/>
      <c r="P27" s="155"/>
      <c r="Q27" s="155"/>
      <c r="R27" s="156"/>
      <c r="S27" s="156"/>
      <c r="T27" s="156"/>
      <c r="U27" s="156"/>
      <c r="V27" s="156"/>
      <c r="W27" s="156"/>
      <c r="X27" s="156"/>
      <c r="Y27" s="156"/>
      <c r="Z27" s="146"/>
      <c r="AA27" s="146"/>
      <c r="AB27" s="146"/>
      <c r="AC27" s="146"/>
      <c r="AD27" s="146"/>
      <c r="AE27" s="146"/>
      <c r="AF27" s="146"/>
      <c r="AG27" s="146" t="s">
        <v>142</v>
      </c>
      <c r="AH27" s="146">
        <v>0</v>
      </c>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row>
    <row r="28" spans="1:60" ht="25.5" x14ac:dyDescent="0.2">
      <c r="A28" s="158" t="s">
        <v>115</v>
      </c>
      <c r="B28" s="159" t="s">
        <v>70</v>
      </c>
      <c r="C28" s="173" t="s">
        <v>71</v>
      </c>
      <c r="D28" s="160"/>
      <c r="E28" s="161"/>
      <c r="F28" s="162"/>
      <c r="G28" s="162">
        <f>SUMIF(AG29:AG32,"&lt;&gt;NOR",G29:G32)</f>
        <v>0</v>
      </c>
      <c r="H28" s="162"/>
      <c r="I28" s="162">
        <f>SUM(I29:I32)</f>
        <v>125.09</v>
      </c>
      <c r="J28" s="162"/>
      <c r="K28" s="162">
        <f>SUM(K29:K32)</f>
        <v>9775.68</v>
      </c>
      <c r="L28" s="162"/>
      <c r="M28" s="162">
        <f>SUM(M29:M32)</f>
        <v>0</v>
      </c>
      <c r="N28" s="161"/>
      <c r="O28" s="161">
        <f>SUM(O29:O32)</f>
        <v>0</v>
      </c>
      <c r="P28" s="161"/>
      <c r="Q28" s="161">
        <f>SUM(Q29:Q32)</f>
        <v>0</v>
      </c>
      <c r="R28" s="162"/>
      <c r="S28" s="162"/>
      <c r="T28" s="163"/>
      <c r="U28" s="157"/>
      <c r="V28" s="157">
        <f>SUM(V29:V32)</f>
        <v>17.28</v>
      </c>
      <c r="W28" s="157"/>
      <c r="X28" s="157"/>
      <c r="Y28" s="157"/>
      <c r="AG28" t="s">
        <v>116</v>
      </c>
    </row>
    <row r="29" spans="1:60" outlineLevel="1" x14ac:dyDescent="0.2">
      <c r="A29" s="165">
        <v>9</v>
      </c>
      <c r="B29" s="166" t="s">
        <v>168</v>
      </c>
      <c r="C29" s="174" t="s">
        <v>169</v>
      </c>
      <c r="D29" s="167" t="s">
        <v>138</v>
      </c>
      <c r="E29" s="168">
        <v>56.094999999999999</v>
      </c>
      <c r="F29" s="169"/>
      <c r="G29" s="170">
        <f>ROUND(E29*F29,2)</f>
        <v>0</v>
      </c>
      <c r="H29" s="169">
        <v>2.23</v>
      </c>
      <c r="I29" s="170">
        <f>ROUND(E29*H29,2)</f>
        <v>125.09</v>
      </c>
      <c r="J29" s="169">
        <v>174.27</v>
      </c>
      <c r="K29" s="170">
        <f>ROUND(E29*J29,2)</f>
        <v>9775.68</v>
      </c>
      <c r="L29" s="170">
        <v>21</v>
      </c>
      <c r="M29" s="170">
        <f>G29*(1+L29/100)</f>
        <v>0</v>
      </c>
      <c r="N29" s="168">
        <v>4.0000000000000003E-5</v>
      </c>
      <c r="O29" s="168">
        <f>ROUND(E29*N29,2)</f>
        <v>0</v>
      </c>
      <c r="P29" s="168">
        <v>0</v>
      </c>
      <c r="Q29" s="168">
        <f>ROUND(E29*P29,2)</f>
        <v>0</v>
      </c>
      <c r="R29" s="170"/>
      <c r="S29" s="170" t="s">
        <v>118</v>
      </c>
      <c r="T29" s="171" t="s">
        <v>118</v>
      </c>
      <c r="U29" s="156">
        <v>0.308</v>
      </c>
      <c r="V29" s="156">
        <f>ROUND(E29*U29,2)</f>
        <v>17.28</v>
      </c>
      <c r="W29" s="156"/>
      <c r="X29" s="156" t="s">
        <v>139</v>
      </c>
      <c r="Y29" s="156" t="s">
        <v>120</v>
      </c>
      <c r="Z29" s="146"/>
      <c r="AA29" s="146"/>
      <c r="AB29" s="146"/>
      <c r="AC29" s="146"/>
      <c r="AD29" s="146"/>
      <c r="AE29" s="146"/>
      <c r="AF29" s="146"/>
      <c r="AG29" s="146" t="s">
        <v>140</v>
      </c>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row>
    <row r="30" spans="1:60" outlineLevel="2" x14ac:dyDescent="0.2">
      <c r="A30" s="153"/>
      <c r="B30" s="154"/>
      <c r="C30" s="187" t="s">
        <v>170</v>
      </c>
      <c r="D30" s="178"/>
      <c r="E30" s="179">
        <v>23.265000000000001</v>
      </c>
      <c r="F30" s="156"/>
      <c r="G30" s="156"/>
      <c r="H30" s="156"/>
      <c r="I30" s="156"/>
      <c r="J30" s="156"/>
      <c r="K30" s="156"/>
      <c r="L30" s="156"/>
      <c r="M30" s="156"/>
      <c r="N30" s="155"/>
      <c r="O30" s="155"/>
      <c r="P30" s="155"/>
      <c r="Q30" s="155"/>
      <c r="R30" s="156"/>
      <c r="S30" s="156"/>
      <c r="T30" s="156"/>
      <c r="U30" s="156"/>
      <c r="V30" s="156"/>
      <c r="W30" s="156"/>
      <c r="X30" s="156"/>
      <c r="Y30" s="156"/>
      <c r="Z30" s="146"/>
      <c r="AA30" s="146"/>
      <c r="AB30" s="146"/>
      <c r="AC30" s="146"/>
      <c r="AD30" s="146"/>
      <c r="AE30" s="146"/>
      <c r="AF30" s="146"/>
      <c r="AG30" s="146" t="s">
        <v>142</v>
      </c>
      <c r="AH30" s="146">
        <v>0</v>
      </c>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row>
    <row r="31" spans="1:60" outlineLevel="3" x14ac:dyDescent="0.2">
      <c r="A31" s="153"/>
      <c r="B31" s="154"/>
      <c r="C31" s="187" t="s">
        <v>171</v>
      </c>
      <c r="D31" s="178"/>
      <c r="E31" s="179">
        <v>28.2</v>
      </c>
      <c r="F31" s="156"/>
      <c r="G31" s="156"/>
      <c r="H31" s="156"/>
      <c r="I31" s="156"/>
      <c r="J31" s="156"/>
      <c r="K31" s="156"/>
      <c r="L31" s="156"/>
      <c r="M31" s="156"/>
      <c r="N31" s="155"/>
      <c r="O31" s="155"/>
      <c r="P31" s="155"/>
      <c r="Q31" s="155"/>
      <c r="R31" s="156"/>
      <c r="S31" s="156"/>
      <c r="T31" s="156"/>
      <c r="U31" s="156"/>
      <c r="V31" s="156"/>
      <c r="W31" s="156"/>
      <c r="X31" s="156"/>
      <c r="Y31" s="156"/>
      <c r="Z31" s="146"/>
      <c r="AA31" s="146"/>
      <c r="AB31" s="146"/>
      <c r="AC31" s="146"/>
      <c r="AD31" s="146"/>
      <c r="AE31" s="146"/>
      <c r="AF31" s="146"/>
      <c r="AG31" s="146" t="s">
        <v>142</v>
      </c>
      <c r="AH31" s="146">
        <v>0</v>
      </c>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row>
    <row r="32" spans="1:60" outlineLevel="3" x14ac:dyDescent="0.2">
      <c r="A32" s="153"/>
      <c r="B32" s="154"/>
      <c r="C32" s="187" t="s">
        <v>172</v>
      </c>
      <c r="D32" s="178"/>
      <c r="E32" s="179">
        <v>4.63</v>
      </c>
      <c r="F32" s="156"/>
      <c r="G32" s="156"/>
      <c r="H32" s="156"/>
      <c r="I32" s="156"/>
      <c r="J32" s="156"/>
      <c r="K32" s="156"/>
      <c r="L32" s="156"/>
      <c r="M32" s="156"/>
      <c r="N32" s="155"/>
      <c r="O32" s="155"/>
      <c r="P32" s="155"/>
      <c r="Q32" s="155"/>
      <c r="R32" s="156"/>
      <c r="S32" s="156"/>
      <c r="T32" s="156"/>
      <c r="U32" s="156"/>
      <c r="V32" s="156"/>
      <c r="W32" s="156"/>
      <c r="X32" s="156"/>
      <c r="Y32" s="156"/>
      <c r="Z32" s="146"/>
      <c r="AA32" s="146"/>
      <c r="AB32" s="146"/>
      <c r="AC32" s="146"/>
      <c r="AD32" s="146"/>
      <c r="AE32" s="146"/>
      <c r="AF32" s="146"/>
      <c r="AG32" s="146" t="s">
        <v>142</v>
      </c>
      <c r="AH32" s="146">
        <v>0</v>
      </c>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row>
    <row r="33" spans="1:60" x14ac:dyDescent="0.2">
      <c r="A33" s="158" t="s">
        <v>115</v>
      </c>
      <c r="B33" s="159" t="s">
        <v>72</v>
      </c>
      <c r="C33" s="173" t="s">
        <v>73</v>
      </c>
      <c r="D33" s="160"/>
      <c r="E33" s="161"/>
      <c r="F33" s="162"/>
      <c r="G33" s="162">
        <f>SUMIF(AG34:AG47,"&lt;&gt;NOR",G34:G47)</f>
        <v>0</v>
      </c>
      <c r="H33" s="162"/>
      <c r="I33" s="162">
        <f>SUM(I34:I47)</f>
        <v>366.09000000000003</v>
      </c>
      <c r="J33" s="162"/>
      <c r="K33" s="162">
        <f>SUM(K34:K47)</f>
        <v>17264.53</v>
      </c>
      <c r="L33" s="162"/>
      <c r="M33" s="162">
        <f>SUM(M34:M47)</f>
        <v>0</v>
      </c>
      <c r="N33" s="161"/>
      <c r="O33" s="161">
        <f>SUM(O34:O47)</f>
        <v>0.01</v>
      </c>
      <c r="P33" s="161"/>
      <c r="Q33" s="161">
        <f>SUM(Q34:Q47)</f>
        <v>0.55000000000000004</v>
      </c>
      <c r="R33" s="162"/>
      <c r="S33" s="162"/>
      <c r="T33" s="163"/>
      <c r="U33" s="157"/>
      <c r="V33" s="157">
        <f>SUM(V34:V47)</f>
        <v>22.18</v>
      </c>
      <c r="W33" s="157"/>
      <c r="X33" s="157"/>
      <c r="Y33" s="157"/>
      <c r="AG33" t="s">
        <v>116</v>
      </c>
    </row>
    <row r="34" spans="1:60" ht="22.5" outlineLevel="1" x14ac:dyDescent="0.2">
      <c r="A34" s="165">
        <v>10</v>
      </c>
      <c r="B34" s="166" t="s">
        <v>173</v>
      </c>
      <c r="C34" s="174" t="s">
        <v>174</v>
      </c>
      <c r="D34" s="167" t="s">
        <v>138</v>
      </c>
      <c r="E34" s="168">
        <v>9.5459999999999994</v>
      </c>
      <c r="F34" s="169"/>
      <c r="G34" s="170">
        <f>ROUND(E34*F34,2)</f>
        <v>0</v>
      </c>
      <c r="H34" s="169">
        <v>9.65</v>
      </c>
      <c r="I34" s="170">
        <f>ROUND(E34*H34,2)</f>
        <v>92.12</v>
      </c>
      <c r="J34" s="169">
        <v>123.35</v>
      </c>
      <c r="K34" s="170">
        <f>ROUND(E34*J34,2)</f>
        <v>1177.5</v>
      </c>
      <c r="L34" s="170">
        <v>21</v>
      </c>
      <c r="M34" s="170">
        <f>G34*(1+L34/100)</f>
        <v>0</v>
      </c>
      <c r="N34" s="168">
        <v>3.3E-4</v>
      </c>
      <c r="O34" s="168">
        <f>ROUND(E34*N34,2)</f>
        <v>0</v>
      </c>
      <c r="P34" s="168">
        <v>1.068E-2</v>
      </c>
      <c r="Q34" s="168">
        <f>ROUND(E34*P34,2)</f>
        <v>0.1</v>
      </c>
      <c r="R34" s="170"/>
      <c r="S34" s="170" t="s">
        <v>118</v>
      </c>
      <c r="T34" s="171" t="s">
        <v>118</v>
      </c>
      <c r="U34" s="156">
        <v>0.21099999999999999</v>
      </c>
      <c r="V34" s="156">
        <f>ROUND(E34*U34,2)</f>
        <v>2.0099999999999998</v>
      </c>
      <c r="W34" s="156"/>
      <c r="X34" s="156" t="s">
        <v>139</v>
      </c>
      <c r="Y34" s="156" t="s">
        <v>120</v>
      </c>
      <c r="Z34" s="146"/>
      <c r="AA34" s="146"/>
      <c r="AB34" s="146"/>
      <c r="AC34" s="146"/>
      <c r="AD34" s="146"/>
      <c r="AE34" s="146"/>
      <c r="AF34" s="146"/>
      <c r="AG34" s="146" t="s">
        <v>140</v>
      </c>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row>
    <row r="35" spans="1:60" outlineLevel="2" x14ac:dyDescent="0.2">
      <c r="A35" s="153"/>
      <c r="B35" s="154"/>
      <c r="C35" s="187" t="s">
        <v>175</v>
      </c>
      <c r="D35" s="178"/>
      <c r="E35" s="179">
        <v>6.7679999999999998</v>
      </c>
      <c r="F35" s="156"/>
      <c r="G35" s="156"/>
      <c r="H35" s="156"/>
      <c r="I35" s="156"/>
      <c r="J35" s="156"/>
      <c r="K35" s="156"/>
      <c r="L35" s="156"/>
      <c r="M35" s="156"/>
      <c r="N35" s="155"/>
      <c r="O35" s="155"/>
      <c r="P35" s="155"/>
      <c r="Q35" s="155"/>
      <c r="R35" s="156"/>
      <c r="S35" s="156"/>
      <c r="T35" s="156"/>
      <c r="U35" s="156"/>
      <c r="V35" s="156"/>
      <c r="W35" s="156"/>
      <c r="X35" s="156"/>
      <c r="Y35" s="156"/>
      <c r="Z35" s="146"/>
      <c r="AA35" s="146"/>
      <c r="AB35" s="146"/>
      <c r="AC35" s="146"/>
      <c r="AD35" s="146"/>
      <c r="AE35" s="146"/>
      <c r="AF35" s="146"/>
      <c r="AG35" s="146" t="s">
        <v>142</v>
      </c>
      <c r="AH35" s="146">
        <v>0</v>
      </c>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row>
    <row r="36" spans="1:60" outlineLevel="3" x14ac:dyDescent="0.2">
      <c r="A36" s="153"/>
      <c r="B36" s="154"/>
      <c r="C36" s="187" t="s">
        <v>176</v>
      </c>
      <c r="D36" s="178"/>
      <c r="E36" s="179">
        <v>2.778</v>
      </c>
      <c r="F36" s="156"/>
      <c r="G36" s="156"/>
      <c r="H36" s="156"/>
      <c r="I36" s="156"/>
      <c r="J36" s="156"/>
      <c r="K36" s="156"/>
      <c r="L36" s="156"/>
      <c r="M36" s="156"/>
      <c r="N36" s="155"/>
      <c r="O36" s="155"/>
      <c r="P36" s="155"/>
      <c r="Q36" s="155"/>
      <c r="R36" s="156"/>
      <c r="S36" s="156"/>
      <c r="T36" s="156"/>
      <c r="U36" s="156"/>
      <c r="V36" s="156"/>
      <c r="W36" s="156"/>
      <c r="X36" s="156"/>
      <c r="Y36" s="156"/>
      <c r="Z36" s="146"/>
      <c r="AA36" s="146"/>
      <c r="AB36" s="146"/>
      <c r="AC36" s="146"/>
      <c r="AD36" s="146"/>
      <c r="AE36" s="146"/>
      <c r="AF36" s="146"/>
      <c r="AG36" s="146" t="s">
        <v>142</v>
      </c>
      <c r="AH36" s="146">
        <v>0</v>
      </c>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row>
    <row r="37" spans="1:60" outlineLevel="1" x14ac:dyDescent="0.2">
      <c r="A37" s="180">
        <v>11</v>
      </c>
      <c r="B37" s="181" t="s">
        <v>177</v>
      </c>
      <c r="C37" s="188" t="s">
        <v>178</v>
      </c>
      <c r="D37" s="182" t="s">
        <v>138</v>
      </c>
      <c r="E37" s="183">
        <v>4.9000000000000004</v>
      </c>
      <c r="F37" s="184"/>
      <c r="G37" s="185">
        <f>ROUND(E37*F37,2)</f>
        <v>0</v>
      </c>
      <c r="H37" s="184">
        <v>0</v>
      </c>
      <c r="I37" s="185">
        <f>ROUND(E37*H37,2)</f>
        <v>0</v>
      </c>
      <c r="J37" s="184">
        <v>433</v>
      </c>
      <c r="K37" s="185">
        <f>ROUND(E37*J37,2)</f>
        <v>2121.6999999999998</v>
      </c>
      <c r="L37" s="185">
        <v>21</v>
      </c>
      <c r="M37" s="185">
        <f>G37*(1+L37/100)</f>
        <v>0</v>
      </c>
      <c r="N37" s="183">
        <v>0</v>
      </c>
      <c r="O37" s="183">
        <f>ROUND(E37*N37,2)</f>
        <v>0</v>
      </c>
      <c r="P37" s="183">
        <v>1.26E-2</v>
      </c>
      <c r="Q37" s="183">
        <f>ROUND(E37*P37,2)</f>
        <v>0.06</v>
      </c>
      <c r="R37" s="185"/>
      <c r="S37" s="185" t="s">
        <v>118</v>
      </c>
      <c r="T37" s="186" t="s">
        <v>118</v>
      </c>
      <c r="U37" s="156">
        <v>0.33</v>
      </c>
      <c r="V37" s="156">
        <f>ROUND(E37*U37,2)</f>
        <v>1.62</v>
      </c>
      <c r="W37" s="156"/>
      <c r="X37" s="156" t="s">
        <v>139</v>
      </c>
      <c r="Y37" s="156" t="s">
        <v>120</v>
      </c>
      <c r="Z37" s="146"/>
      <c r="AA37" s="146"/>
      <c r="AB37" s="146"/>
      <c r="AC37" s="146"/>
      <c r="AD37" s="146"/>
      <c r="AE37" s="146"/>
      <c r="AF37" s="146"/>
      <c r="AG37" s="146" t="s">
        <v>140</v>
      </c>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row>
    <row r="38" spans="1:60" ht="22.5" outlineLevel="1" x14ac:dyDescent="0.2">
      <c r="A38" s="165">
        <v>12</v>
      </c>
      <c r="B38" s="166" t="s">
        <v>179</v>
      </c>
      <c r="C38" s="174" t="s">
        <v>180</v>
      </c>
      <c r="D38" s="167" t="s">
        <v>138</v>
      </c>
      <c r="E38" s="168">
        <v>4.9000000000000004</v>
      </c>
      <c r="F38" s="169"/>
      <c r="G38" s="170">
        <f>ROUND(E38*F38,2)</f>
        <v>0</v>
      </c>
      <c r="H38" s="169">
        <v>0</v>
      </c>
      <c r="I38" s="170">
        <f>ROUND(E38*H38,2)</f>
        <v>0</v>
      </c>
      <c r="J38" s="169">
        <v>130.5</v>
      </c>
      <c r="K38" s="170">
        <f>ROUND(E38*J38,2)</f>
        <v>639.45000000000005</v>
      </c>
      <c r="L38" s="170">
        <v>21</v>
      </c>
      <c r="M38" s="170">
        <f>G38*(1+L38/100)</f>
        <v>0</v>
      </c>
      <c r="N38" s="168">
        <v>0</v>
      </c>
      <c r="O38" s="168">
        <f>ROUND(E38*N38,2)</f>
        <v>0</v>
      </c>
      <c r="P38" s="168">
        <v>0.02</v>
      </c>
      <c r="Q38" s="168">
        <f>ROUND(E38*P38,2)</f>
        <v>0.1</v>
      </c>
      <c r="R38" s="170"/>
      <c r="S38" s="170" t="s">
        <v>118</v>
      </c>
      <c r="T38" s="171" t="s">
        <v>118</v>
      </c>
      <c r="U38" s="156">
        <v>0.23</v>
      </c>
      <c r="V38" s="156">
        <f>ROUND(E38*U38,2)</f>
        <v>1.1299999999999999</v>
      </c>
      <c r="W38" s="156"/>
      <c r="X38" s="156" t="s">
        <v>139</v>
      </c>
      <c r="Y38" s="156" t="s">
        <v>120</v>
      </c>
      <c r="Z38" s="146"/>
      <c r="AA38" s="146"/>
      <c r="AB38" s="146"/>
      <c r="AC38" s="146"/>
      <c r="AD38" s="146"/>
      <c r="AE38" s="146"/>
      <c r="AF38" s="146"/>
      <c r="AG38" s="146" t="s">
        <v>140</v>
      </c>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row>
    <row r="39" spans="1:60" outlineLevel="2" x14ac:dyDescent="0.2">
      <c r="A39" s="153"/>
      <c r="B39" s="154"/>
      <c r="C39" s="187" t="s">
        <v>181</v>
      </c>
      <c r="D39" s="178"/>
      <c r="E39" s="179">
        <v>4.9000000000000004</v>
      </c>
      <c r="F39" s="156"/>
      <c r="G39" s="156"/>
      <c r="H39" s="156"/>
      <c r="I39" s="156"/>
      <c r="J39" s="156"/>
      <c r="K39" s="156"/>
      <c r="L39" s="156"/>
      <c r="M39" s="156"/>
      <c r="N39" s="155"/>
      <c r="O39" s="155"/>
      <c r="P39" s="155"/>
      <c r="Q39" s="155"/>
      <c r="R39" s="156"/>
      <c r="S39" s="156"/>
      <c r="T39" s="156"/>
      <c r="U39" s="156"/>
      <c r="V39" s="156"/>
      <c r="W39" s="156"/>
      <c r="X39" s="156"/>
      <c r="Y39" s="156"/>
      <c r="Z39" s="146"/>
      <c r="AA39" s="146"/>
      <c r="AB39" s="146"/>
      <c r="AC39" s="146"/>
      <c r="AD39" s="146"/>
      <c r="AE39" s="146"/>
      <c r="AF39" s="146"/>
      <c r="AG39" s="146" t="s">
        <v>142</v>
      </c>
      <c r="AH39" s="146">
        <v>0</v>
      </c>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row>
    <row r="40" spans="1:60" outlineLevel="1" x14ac:dyDescent="0.2">
      <c r="A40" s="165">
        <v>13</v>
      </c>
      <c r="B40" s="166" t="s">
        <v>182</v>
      </c>
      <c r="C40" s="174" t="s">
        <v>183</v>
      </c>
      <c r="D40" s="167" t="s">
        <v>138</v>
      </c>
      <c r="E40" s="168">
        <v>19.091999999999999</v>
      </c>
      <c r="F40" s="169"/>
      <c r="G40" s="170">
        <f>ROUND(E40*F40,2)</f>
        <v>0</v>
      </c>
      <c r="H40" s="169">
        <v>14.35</v>
      </c>
      <c r="I40" s="170">
        <f>ROUND(E40*H40,2)</f>
        <v>273.97000000000003</v>
      </c>
      <c r="J40" s="169">
        <v>98.15</v>
      </c>
      <c r="K40" s="170">
        <f>ROUND(E40*J40,2)</f>
        <v>1873.88</v>
      </c>
      <c r="L40" s="170">
        <v>21</v>
      </c>
      <c r="M40" s="170">
        <f>G40*(1+L40/100)</f>
        <v>0</v>
      </c>
      <c r="N40" s="168">
        <v>4.8999999999999998E-4</v>
      </c>
      <c r="O40" s="168">
        <f>ROUND(E40*N40,2)</f>
        <v>0.01</v>
      </c>
      <c r="P40" s="168">
        <v>1.4999999999999999E-2</v>
      </c>
      <c r="Q40" s="168">
        <f>ROUND(E40*P40,2)</f>
        <v>0.28999999999999998</v>
      </c>
      <c r="R40" s="170"/>
      <c r="S40" s="170" t="s">
        <v>118</v>
      </c>
      <c r="T40" s="171" t="s">
        <v>118</v>
      </c>
      <c r="U40" s="156">
        <v>0.17899999999999999</v>
      </c>
      <c r="V40" s="156">
        <f>ROUND(E40*U40,2)</f>
        <v>3.42</v>
      </c>
      <c r="W40" s="156"/>
      <c r="X40" s="156" t="s">
        <v>139</v>
      </c>
      <c r="Y40" s="156" t="s">
        <v>120</v>
      </c>
      <c r="Z40" s="146"/>
      <c r="AA40" s="146"/>
      <c r="AB40" s="146"/>
      <c r="AC40" s="146"/>
      <c r="AD40" s="146"/>
      <c r="AE40" s="146"/>
      <c r="AF40" s="146"/>
      <c r="AG40" s="146" t="s">
        <v>140</v>
      </c>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row>
    <row r="41" spans="1:60" outlineLevel="2" x14ac:dyDescent="0.2">
      <c r="A41" s="153"/>
      <c r="B41" s="154"/>
      <c r="C41" s="187" t="s">
        <v>184</v>
      </c>
      <c r="D41" s="178"/>
      <c r="E41" s="179">
        <v>5.556</v>
      </c>
      <c r="F41" s="156"/>
      <c r="G41" s="156"/>
      <c r="H41" s="156"/>
      <c r="I41" s="156"/>
      <c r="J41" s="156"/>
      <c r="K41" s="156"/>
      <c r="L41" s="156"/>
      <c r="M41" s="156"/>
      <c r="N41" s="155"/>
      <c r="O41" s="155"/>
      <c r="P41" s="155"/>
      <c r="Q41" s="155"/>
      <c r="R41" s="156"/>
      <c r="S41" s="156"/>
      <c r="T41" s="156"/>
      <c r="U41" s="156"/>
      <c r="V41" s="156"/>
      <c r="W41" s="156"/>
      <c r="X41" s="156"/>
      <c r="Y41" s="156"/>
      <c r="Z41" s="146"/>
      <c r="AA41" s="146"/>
      <c r="AB41" s="146"/>
      <c r="AC41" s="146"/>
      <c r="AD41" s="146"/>
      <c r="AE41" s="146"/>
      <c r="AF41" s="146"/>
      <c r="AG41" s="146" t="s">
        <v>142</v>
      </c>
      <c r="AH41" s="146">
        <v>0</v>
      </c>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row>
    <row r="42" spans="1:60" outlineLevel="3" x14ac:dyDescent="0.2">
      <c r="A42" s="153"/>
      <c r="B42" s="154"/>
      <c r="C42" s="187" t="s">
        <v>185</v>
      </c>
      <c r="D42" s="178"/>
      <c r="E42" s="179">
        <v>13.536</v>
      </c>
      <c r="F42" s="156"/>
      <c r="G42" s="156"/>
      <c r="H42" s="156"/>
      <c r="I42" s="156"/>
      <c r="J42" s="156"/>
      <c r="K42" s="156"/>
      <c r="L42" s="156"/>
      <c r="M42" s="156"/>
      <c r="N42" s="155"/>
      <c r="O42" s="155"/>
      <c r="P42" s="155"/>
      <c r="Q42" s="155"/>
      <c r="R42" s="156"/>
      <c r="S42" s="156"/>
      <c r="T42" s="156"/>
      <c r="U42" s="156"/>
      <c r="V42" s="156"/>
      <c r="W42" s="156"/>
      <c r="X42" s="156"/>
      <c r="Y42" s="156"/>
      <c r="Z42" s="146"/>
      <c r="AA42" s="146"/>
      <c r="AB42" s="146"/>
      <c r="AC42" s="146"/>
      <c r="AD42" s="146"/>
      <c r="AE42" s="146"/>
      <c r="AF42" s="146"/>
      <c r="AG42" s="146" t="s">
        <v>142</v>
      </c>
      <c r="AH42" s="146">
        <v>0</v>
      </c>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row>
    <row r="43" spans="1:60" outlineLevel="1" x14ac:dyDescent="0.2">
      <c r="A43" s="180">
        <v>14</v>
      </c>
      <c r="B43" s="181" t="s">
        <v>186</v>
      </c>
      <c r="C43" s="188" t="s">
        <v>187</v>
      </c>
      <c r="D43" s="182" t="s">
        <v>188</v>
      </c>
      <c r="E43" s="183">
        <v>1</v>
      </c>
      <c r="F43" s="184"/>
      <c r="G43" s="185">
        <f>ROUND(E43*F43,2)</f>
        <v>0</v>
      </c>
      <c r="H43" s="184">
        <v>0</v>
      </c>
      <c r="I43" s="185">
        <f>ROUND(E43*H43,2)</f>
        <v>0</v>
      </c>
      <c r="J43" s="184">
        <v>3500</v>
      </c>
      <c r="K43" s="185">
        <f>ROUND(E43*J43,2)</f>
        <v>3500</v>
      </c>
      <c r="L43" s="185">
        <v>21</v>
      </c>
      <c r="M43" s="185">
        <f>G43*(1+L43/100)</f>
        <v>0</v>
      </c>
      <c r="N43" s="183">
        <v>0</v>
      </c>
      <c r="O43" s="183">
        <f>ROUND(E43*N43,2)</f>
        <v>0</v>
      </c>
      <c r="P43" s="183">
        <v>0</v>
      </c>
      <c r="Q43" s="183">
        <f>ROUND(E43*P43,2)</f>
        <v>0</v>
      </c>
      <c r="R43" s="185"/>
      <c r="S43" s="185" t="s">
        <v>162</v>
      </c>
      <c r="T43" s="186" t="s">
        <v>119</v>
      </c>
      <c r="U43" s="156">
        <v>0</v>
      </c>
      <c r="V43" s="156">
        <f>ROUND(E43*U43,2)</f>
        <v>0</v>
      </c>
      <c r="W43" s="156"/>
      <c r="X43" s="156" t="s">
        <v>139</v>
      </c>
      <c r="Y43" s="156" t="s">
        <v>120</v>
      </c>
      <c r="Z43" s="146"/>
      <c r="AA43" s="146"/>
      <c r="AB43" s="146"/>
      <c r="AC43" s="146"/>
      <c r="AD43" s="146"/>
      <c r="AE43" s="146"/>
      <c r="AF43" s="146"/>
      <c r="AG43" s="146" t="s">
        <v>140</v>
      </c>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row>
    <row r="44" spans="1:60" outlineLevel="1" x14ac:dyDescent="0.2">
      <c r="A44" s="165">
        <v>15</v>
      </c>
      <c r="B44" s="166" t="s">
        <v>189</v>
      </c>
      <c r="C44" s="174" t="s">
        <v>190</v>
      </c>
      <c r="D44" s="167" t="s">
        <v>191</v>
      </c>
      <c r="E44" s="168">
        <v>14</v>
      </c>
      <c r="F44" s="169"/>
      <c r="G44" s="170">
        <f>ROUND(E44*F44,2)</f>
        <v>0</v>
      </c>
      <c r="H44" s="169">
        <v>0</v>
      </c>
      <c r="I44" s="170">
        <f>ROUND(E44*H44,2)</f>
        <v>0</v>
      </c>
      <c r="J44" s="169">
        <v>568</v>
      </c>
      <c r="K44" s="170">
        <f>ROUND(E44*J44,2)</f>
        <v>7952</v>
      </c>
      <c r="L44" s="170">
        <v>21</v>
      </c>
      <c r="M44" s="170">
        <f>G44*(1+L44/100)</f>
        <v>0</v>
      </c>
      <c r="N44" s="168">
        <v>0</v>
      </c>
      <c r="O44" s="168">
        <f>ROUND(E44*N44,2)</f>
        <v>0</v>
      </c>
      <c r="P44" s="168">
        <v>0</v>
      </c>
      <c r="Q44" s="168">
        <f>ROUND(E44*P44,2)</f>
        <v>0</v>
      </c>
      <c r="R44" s="170" t="s">
        <v>192</v>
      </c>
      <c r="S44" s="170" t="s">
        <v>118</v>
      </c>
      <c r="T44" s="171" t="s">
        <v>118</v>
      </c>
      <c r="U44" s="156">
        <v>1</v>
      </c>
      <c r="V44" s="156">
        <f>ROUND(E44*U44,2)</f>
        <v>14</v>
      </c>
      <c r="W44" s="156"/>
      <c r="X44" s="156" t="s">
        <v>193</v>
      </c>
      <c r="Y44" s="156" t="s">
        <v>120</v>
      </c>
      <c r="Z44" s="146"/>
      <c r="AA44" s="146"/>
      <c r="AB44" s="146"/>
      <c r="AC44" s="146"/>
      <c r="AD44" s="146"/>
      <c r="AE44" s="146"/>
      <c r="AF44" s="146"/>
      <c r="AG44" s="146" t="s">
        <v>194</v>
      </c>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row>
    <row r="45" spans="1:60" outlineLevel="2" x14ac:dyDescent="0.2">
      <c r="A45" s="153"/>
      <c r="B45" s="154"/>
      <c r="C45" s="187" t="s">
        <v>195</v>
      </c>
      <c r="D45" s="178"/>
      <c r="E45" s="179">
        <v>9</v>
      </c>
      <c r="F45" s="156"/>
      <c r="G45" s="156"/>
      <c r="H45" s="156"/>
      <c r="I45" s="156"/>
      <c r="J45" s="156"/>
      <c r="K45" s="156"/>
      <c r="L45" s="156"/>
      <c r="M45" s="156"/>
      <c r="N45" s="155"/>
      <c r="O45" s="155"/>
      <c r="P45" s="155"/>
      <c r="Q45" s="155"/>
      <c r="R45" s="156"/>
      <c r="S45" s="156"/>
      <c r="T45" s="156"/>
      <c r="U45" s="156"/>
      <c r="V45" s="156"/>
      <c r="W45" s="156"/>
      <c r="X45" s="156"/>
      <c r="Y45" s="156"/>
      <c r="Z45" s="146"/>
      <c r="AA45" s="146"/>
      <c r="AB45" s="146"/>
      <c r="AC45" s="146"/>
      <c r="AD45" s="146"/>
      <c r="AE45" s="146"/>
      <c r="AF45" s="146"/>
      <c r="AG45" s="146" t="s">
        <v>142</v>
      </c>
      <c r="AH45" s="146">
        <v>0</v>
      </c>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row>
    <row r="46" spans="1:60" outlineLevel="3" x14ac:dyDescent="0.2">
      <c r="A46" s="153"/>
      <c r="B46" s="154"/>
      <c r="C46" s="187" t="s">
        <v>196</v>
      </c>
      <c r="D46" s="178"/>
      <c r="E46" s="179">
        <v>3</v>
      </c>
      <c r="F46" s="156"/>
      <c r="G46" s="156"/>
      <c r="H46" s="156"/>
      <c r="I46" s="156"/>
      <c r="J46" s="156"/>
      <c r="K46" s="156"/>
      <c r="L46" s="156"/>
      <c r="M46" s="156"/>
      <c r="N46" s="155"/>
      <c r="O46" s="155"/>
      <c r="P46" s="155"/>
      <c r="Q46" s="155"/>
      <c r="R46" s="156"/>
      <c r="S46" s="156"/>
      <c r="T46" s="156"/>
      <c r="U46" s="156"/>
      <c r="V46" s="156"/>
      <c r="W46" s="156"/>
      <c r="X46" s="156"/>
      <c r="Y46" s="156"/>
      <c r="Z46" s="146"/>
      <c r="AA46" s="146"/>
      <c r="AB46" s="146"/>
      <c r="AC46" s="146"/>
      <c r="AD46" s="146"/>
      <c r="AE46" s="146"/>
      <c r="AF46" s="146"/>
      <c r="AG46" s="146" t="s">
        <v>142</v>
      </c>
      <c r="AH46" s="146">
        <v>0</v>
      </c>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row>
    <row r="47" spans="1:60" outlineLevel="3" x14ac:dyDescent="0.2">
      <c r="A47" s="153"/>
      <c r="B47" s="154"/>
      <c r="C47" s="187" t="s">
        <v>197</v>
      </c>
      <c r="D47" s="178"/>
      <c r="E47" s="179">
        <v>2</v>
      </c>
      <c r="F47" s="156"/>
      <c r="G47" s="156"/>
      <c r="H47" s="156"/>
      <c r="I47" s="156"/>
      <c r="J47" s="156"/>
      <c r="K47" s="156"/>
      <c r="L47" s="156"/>
      <c r="M47" s="156"/>
      <c r="N47" s="155"/>
      <c r="O47" s="155"/>
      <c r="P47" s="155"/>
      <c r="Q47" s="155"/>
      <c r="R47" s="156"/>
      <c r="S47" s="156"/>
      <c r="T47" s="156"/>
      <c r="U47" s="156"/>
      <c r="V47" s="156"/>
      <c r="W47" s="156"/>
      <c r="X47" s="156"/>
      <c r="Y47" s="156"/>
      <c r="Z47" s="146"/>
      <c r="AA47" s="146"/>
      <c r="AB47" s="146"/>
      <c r="AC47" s="146"/>
      <c r="AD47" s="146"/>
      <c r="AE47" s="146"/>
      <c r="AF47" s="146"/>
      <c r="AG47" s="146" t="s">
        <v>142</v>
      </c>
      <c r="AH47" s="146">
        <v>0</v>
      </c>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row>
    <row r="48" spans="1:60" x14ac:dyDescent="0.2">
      <c r="A48" s="158" t="s">
        <v>115</v>
      </c>
      <c r="B48" s="159" t="s">
        <v>74</v>
      </c>
      <c r="C48" s="173" t="s">
        <v>75</v>
      </c>
      <c r="D48" s="160"/>
      <c r="E48" s="161"/>
      <c r="F48" s="162"/>
      <c r="G48" s="162">
        <f>SUMIF(AG49:AG55,"&lt;&gt;NOR",G49:G55)</f>
        <v>0</v>
      </c>
      <c r="H48" s="162"/>
      <c r="I48" s="162">
        <f>SUM(I49:I55)</f>
        <v>0</v>
      </c>
      <c r="J48" s="162"/>
      <c r="K48" s="162">
        <f>SUM(K49:K55)</f>
        <v>1023.61</v>
      </c>
      <c r="L48" s="162"/>
      <c r="M48" s="162">
        <f>SUM(M49:M55)</f>
        <v>0</v>
      </c>
      <c r="N48" s="161"/>
      <c r="O48" s="161">
        <f>SUM(O49:O55)</f>
        <v>0</v>
      </c>
      <c r="P48" s="161"/>
      <c r="Q48" s="161">
        <f>SUM(Q49:Q55)</f>
        <v>0</v>
      </c>
      <c r="R48" s="162"/>
      <c r="S48" s="162"/>
      <c r="T48" s="163"/>
      <c r="U48" s="157"/>
      <c r="V48" s="157">
        <f>SUM(V49:V55)</f>
        <v>1.71</v>
      </c>
      <c r="W48" s="157"/>
      <c r="X48" s="157"/>
      <c r="Y48" s="157"/>
      <c r="AG48" t="s">
        <v>116</v>
      </c>
    </row>
    <row r="49" spans="1:60" ht="22.5" outlineLevel="1" x14ac:dyDescent="0.2">
      <c r="A49" s="165">
        <v>16</v>
      </c>
      <c r="B49" s="166" t="s">
        <v>198</v>
      </c>
      <c r="C49" s="174" t="s">
        <v>199</v>
      </c>
      <c r="D49" s="167" t="s">
        <v>200</v>
      </c>
      <c r="E49" s="168">
        <v>0.81238999999999995</v>
      </c>
      <c r="F49" s="169"/>
      <c r="G49" s="170">
        <f>ROUND(E49*F49,2)</f>
        <v>0</v>
      </c>
      <c r="H49" s="169">
        <v>0</v>
      </c>
      <c r="I49" s="170">
        <f>ROUND(E49*H49,2)</f>
        <v>0</v>
      </c>
      <c r="J49" s="169">
        <v>1260</v>
      </c>
      <c r="K49" s="170">
        <f>ROUND(E49*J49,2)</f>
        <v>1023.61</v>
      </c>
      <c r="L49" s="170">
        <v>21</v>
      </c>
      <c r="M49" s="170">
        <f>G49*(1+L49/100)</f>
        <v>0</v>
      </c>
      <c r="N49" s="168">
        <v>0</v>
      </c>
      <c r="O49" s="168">
        <f>ROUND(E49*N49,2)</f>
        <v>0</v>
      </c>
      <c r="P49" s="168">
        <v>0</v>
      </c>
      <c r="Q49" s="168">
        <f>ROUND(E49*P49,2)</f>
        <v>0</v>
      </c>
      <c r="R49" s="170"/>
      <c r="S49" s="170" t="s">
        <v>118</v>
      </c>
      <c r="T49" s="171" t="s">
        <v>118</v>
      </c>
      <c r="U49" s="156">
        <v>2.1</v>
      </c>
      <c r="V49" s="156">
        <f>ROUND(E49*U49,2)</f>
        <v>1.71</v>
      </c>
      <c r="W49" s="156"/>
      <c r="X49" s="156" t="s">
        <v>139</v>
      </c>
      <c r="Y49" s="156" t="s">
        <v>120</v>
      </c>
      <c r="Z49" s="146"/>
      <c r="AA49" s="146"/>
      <c r="AB49" s="146"/>
      <c r="AC49" s="146"/>
      <c r="AD49" s="146"/>
      <c r="AE49" s="146"/>
      <c r="AF49" s="146"/>
      <c r="AG49" s="146" t="s">
        <v>140</v>
      </c>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row>
    <row r="50" spans="1:60" outlineLevel="2" x14ac:dyDescent="0.2">
      <c r="A50" s="153"/>
      <c r="B50" s="154"/>
      <c r="C50" s="187" t="s">
        <v>201</v>
      </c>
      <c r="D50" s="178"/>
      <c r="E50" s="179">
        <v>0.70106999999999997</v>
      </c>
      <c r="F50" s="156"/>
      <c r="G50" s="156"/>
      <c r="H50" s="156"/>
      <c r="I50" s="156"/>
      <c r="J50" s="156"/>
      <c r="K50" s="156"/>
      <c r="L50" s="156"/>
      <c r="M50" s="156"/>
      <c r="N50" s="155"/>
      <c r="O50" s="155"/>
      <c r="P50" s="155"/>
      <c r="Q50" s="155"/>
      <c r="R50" s="156"/>
      <c r="S50" s="156"/>
      <c r="T50" s="156"/>
      <c r="U50" s="156"/>
      <c r="V50" s="156"/>
      <c r="W50" s="156"/>
      <c r="X50" s="156"/>
      <c r="Y50" s="156"/>
      <c r="Z50" s="146"/>
      <c r="AA50" s="146"/>
      <c r="AB50" s="146"/>
      <c r="AC50" s="146"/>
      <c r="AD50" s="146"/>
      <c r="AE50" s="146"/>
      <c r="AF50" s="146"/>
      <c r="AG50" s="146" t="s">
        <v>142</v>
      </c>
      <c r="AH50" s="146">
        <v>0</v>
      </c>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row>
    <row r="51" spans="1:60" outlineLevel="3" x14ac:dyDescent="0.2">
      <c r="A51" s="153"/>
      <c r="B51" s="154"/>
      <c r="C51" s="187" t="s">
        <v>202</v>
      </c>
      <c r="D51" s="178"/>
      <c r="E51" s="179">
        <v>3.1649999999999998E-2</v>
      </c>
      <c r="F51" s="156"/>
      <c r="G51" s="156"/>
      <c r="H51" s="156"/>
      <c r="I51" s="156"/>
      <c r="J51" s="156"/>
      <c r="K51" s="156"/>
      <c r="L51" s="156"/>
      <c r="M51" s="156"/>
      <c r="N51" s="155"/>
      <c r="O51" s="155"/>
      <c r="P51" s="155"/>
      <c r="Q51" s="155"/>
      <c r="R51" s="156"/>
      <c r="S51" s="156"/>
      <c r="T51" s="156"/>
      <c r="U51" s="156"/>
      <c r="V51" s="156"/>
      <c r="W51" s="156"/>
      <c r="X51" s="156"/>
      <c r="Y51" s="156"/>
      <c r="Z51" s="146"/>
      <c r="AA51" s="146"/>
      <c r="AB51" s="146"/>
      <c r="AC51" s="146"/>
      <c r="AD51" s="146"/>
      <c r="AE51" s="146"/>
      <c r="AF51" s="146"/>
      <c r="AG51" s="146" t="s">
        <v>142</v>
      </c>
      <c r="AH51" s="146">
        <v>0</v>
      </c>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row>
    <row r="52" spans="1:60" outlineLevel="3" x14ac:dyDescent="0.2">
      <c r="A52" s="153"/>
      <c r="B52" s="154"/>
      <c r="C52" s="187" t="s">
        <v>203</v>
      </c>
      <c r="D52" s="178"/>
      <c r="E52" s="179">
        <v>3.6769999999999997E-2</v>
      </c>
      <c r="F52" s="156"/>
      <c r="G52" s="156"/>
      <c r="H52" s="156"/>
      <c r="I52" s="156"/>
      <c r="J52" s="156"/>
      <c r="K52" s="156"/>
      <c r="L52" s="156"/>
      <c r="M52" s="156"/>
      <c r="N52" s="155"/>
      <c r="O52" s="155"/>
      <c r="P52" s="155"/>
      <c r="Q52" s="155"/>
      <c r="R52" s="156"/>
      <c r="S52" s="156"/>
      <c r="T52" s="156"/>
      <c r="U52" s="156"/>
      <c r="V52" s="156"/>
      <c r="W52" s="156"/>
      <c r="X52" s="156"/>
      <c r="Y52" s="156"/>
      <c r="Z52" s="146"/>
      <c r="AA52" s="146"/>
      <c r="AB52" s="146"/>
      <c r="AC52" s="146"/>
      <c r="AD52" s="146"/>
      <c r="AE52" s="146"/>
      <c r="AF52" s="146"/>
      <c r="AG52" s="146" t="s">
        <v>142</v>
      </c>
      <c r="AH52" s="146">
        <v>0</v>
      </c>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row>
    <row r="53" spans="1:60" outlineLevel="3" x14ac:dyDescent="0.2">
      <c r="A53" s="153"/>
      <c r="B53" s="154"/>
      <c r="C53" s="187" t="s">
        <v>204</v>
      </c>
      <c r="D53" s="178"/>
      <c r="E53" s="179">
        <v>2.8150000000000001E-2</v>
      </c>
      <c r="F53" s="156"/>
      <c r="G53" s="156"/>
      <c r="H53" s="156"/>
      <c r="I53" s="156"/>
      <c r="J53" s="156"/>
      <c r="K53" s="156"/>
      <c r="L53" s="156"/>
      <c r="M53" s="156"/>
      <c r="N53" s="155"/>
      <c r="O53" s="155"/>
      <c r="P53" s="155"/>
      <c r="Q53" s="155"/>
      <c r="R53" s="156"/>
      <c r="S53" s="156"/>
      <c r="T53" s="156"/>
      <c r="U53" s="156"/>
      <c r="V53" s="156"/>
      <c r="W53" s="156"/>
      <c r="X53" s="156"/>
      <c r="Y53" s="156"/>
      <c r="Z53" s="146"/>
      <c r="AA53" s="146"/>
      <c r="AB53" s="146"/>
      <c r="AC53" s="146"/>
      <c r="AD53" s="146"/>
      <c r="AE53" s="146"/>
      <c r="AF53" s="146"/>
      <c r="AG53" s="146" t="s">
        <v>142</v>
      </c>
      <c r="AH53" s="146">
        <v>0</v>
      </c>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row>
    <row r="54" spans="1:60" outlineLevel="3" x14ac:dyDescent="0.2">
      <c r="A54" s="153"/>
      <c r="B54" s="154"/>
      <c r="C54" s="187" t="s">
        <v>205</v>
      </c>
      <c r="D54" s="178"/>
      <c r="E54" s="179">
        <v>2.2399999999999998E-3</v>
      </c>
      <c r="F54" s="156"/>
      <c r="G54" s="156"/>
      <c r="H54" s="156"/>
      <c r="I54" s="156"/>
      <c r="J54" s="156"/>
      <c r="K54" s="156"/>
      <c r="L54" s="156"/>
      <c r="M54" s="156"/>
      <c r="N54" s="155"/>
      <c r="O54" s="155"/>
      <c r="P54" s="155"/>
      <c r="Q54" s="155"/>
      <c r="R54" s="156"/>
      <c r="S54" s="156"/>
      <c r="T54" s="156"/>
      <c r="U54" s="156"/>
      <c r="V54" s="156"/>
      <c r="W54" s="156"/>
      <c r="X54" s="156"/>
      <c r="Y54" s="156"/>
      <c r="Z54" s="146"/>
      <c r="AA54" s="146"/>
      <c r="AB54" s="146"/>
      <c r="AC54" s="146"/>
      <c r="AD54" s="146"/>
      <c r="AE54" s="146"/>
      <c r="AF54" s="146"/>
      <c r="AG54" s="146" t="s">
        <v>142</v>
      </c>
      <c r="AH54" s="146">
        <v>0</v>
      </c>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row>
    <row r="55" spans="1:60" outlineLevel="3" x14ac:dyDescent="0.2">
      <c r="A55" s="153"/>
      <c r="B55" s="154"/>
      <c r="C55" s="187" t="s">
        <v>206</v>
      </c>
      <c r="D55" s="178"/>
      <c r="E55" s="179">
        <v>1.251E-2</v>
      </c>
      <c r="F55" s="156"/>
      <c r="G55" s="156"/>
      <c r="H55" s="156"/>
      <c r="I55" s="156"/>
      <c r="J55" s="156"/>
      <c r="K55" s="156"/>
      <c r="L55" s="156"/>
      <c r="M55" s="156"/>
      <c r="N55" s="155"/>
      <c r="O55" s="155"/>
      <c r="P55" s="155"/>
      <c r="Q55" s="155"/>
      <c r="R55" s="156"/>
      <c r="S55" s="156"/>
      <c r="T55" s="156"/>
      <c r="U55" s="156"/>
      <c r="V55" s="156"/>
      <c r="W55" s="156"/>
      <c r="X55" s="156"/>
      <c r="Y55" s="156"/>
      <c r="Z55" s="146"/>
      <c r="AA55" s="146"/>
      <c r="AB55" s="146"/>
      <c r="AC55" s="146"/>
      <c r="AD55" s="146"/>
      <c r="AE55" s="146"/>
      <c r="AF55" s="146"/>
      <c r="AG55" s="146" t="s">
        <v>142</v>
      </c>
      <c r="AH55" s="146">
        <v>0</v>
      </c>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row>
    <row r="56" spans="1:60" x14ac:dyDescent="0.2">
      <c r="A56" s="158" t="s">
        <v>115</v>
      </c>
      <c r="B56" s="159" t="s">
        <v>76</v>
      </c>
      <c r="C56" s="173" t="s">
        <v>77</v>
      </c>
      <c r="D56" s="160"/>
      <c r="E56" s="161"/>
      <c r="F56" s="162"/>
      <c r="G56" s="162">
        <f>SUMIF(AG57:AG67,"&lt;&gt;NOR",G57:G67)</f>
        <v>0</v>
      </c>
      <c r="H56" s="162"/>
      <c r="I56" s="162">
        <f>SUM(I57:I67)</f>
        <v>13980</v>
      </c>
      <c r="J56" s="162"/>
      <c r="K56" s="162">
        <f>SUM(K57:K67)</f>
        <v>159383.19</v>
      </c>
      <c r="L56" s="162"/>
      <c r="M56" s="162">
        <f>SUM(M57:M67)</f>
        <v>0</v>
      </c>
      <c r="N56" s="161"/>
      <c r="O56" s="161">
        <f>SUM(O57:O67)</f>
        <v>0</v>
      </c>
      <c r="P56" s="161"/>
      <c r="Q56" s="161">
        <f>SUM(Q57:Q67)</f>
        <v>0</v>
      </c>
      <c r="R56" s="162"/>
      <c r="S56" s="162"/>
      <c r="T56" s="163"/>
      <c r="U56" s="157"/>
      <c r="V56" s="157">
        <f>SUM(V57:V67)</f>
        <v>1.45</v>
      </c>
      <c r="W56" s="157"/>
      <c r="X56" s="157"/>
      <c r="Y56" s="157"/>
      <c r="AG56" t="s">
        <v>116</v>
      </c>
    </row>
    <row r="57" spans="1:60" outlineLevel="1" x14ac:dyDescent="0.2">
      <c r="A57" s="180">
        <v>17</v>
      </c>
      <c r="B57" s="181" t="s">
        <v>207</v>
      </c>
      <c r="C57" s="188" t="s">
        <v>208</v>
      </c>
      <c r="D57" s="182" t="s">
        <v>151</v>
      </c>
      <c r="E57" s="183">
        <v>1</v>
      </c>
      <c r="F57" s="184"/>
      <c r="G57" s="185">
        <f t="shared" ref="G57:G63" si="0">ROUND(E57*F57,2)</f>
        <v>0</v>
      </c>
      <c r="H57" s="184">
        <v>0</v>
      </c>
      <c r="I57" s="185">
        <f t="shared" ref="I57:I63" si="1">ROUND(E57*H57,2)</f>
        <v>0</v>
      </c>
      <c r="J57" s="184">
        <v>953</v>
      </c>
      <c r="K57" s="185">
        <f t="shared" ref="K57:K63" si="2">ROUND(E57*J57,2)</f>
        <v>953</v>
      </c>
      <c r="L57" s="185">
        <v>21</v>
      </c>
      <c r="M57" s="185">
        <f t="shared" ref="M57:M63" si="3">G57*(1+L57/100)</f>
        <v>0</v>
      </c>
      <c r="N57" s="183">
        <v>0</v>
      </c>
      <c r="O57" s="183">
        <f t="shared" ref="O57:O63" si="4">ROUND(E57*N57,2)</f>
        <v>0</v>
      </c>
      <c r="P57" s="183">
        <v>0</v>
      </c>
      <c r="Q57" s="183">
        <f t="shared" ref="Q57:Q63" si="5">ROUND(E57*P57,2)</f>
        <v>0</v>
      </c>
      <c r="R57" s="185"/>
      <c r="S57" s="185" t="s">
        <v>118</v>
      </c>
      <c r="T57" s="186" t="s">
        <v>118</v>
      </c>
      <c r="U57" s="156">
        <v>1.45</v>
      </c>
      <c r="V57" s="156">
        <f t="shared" ref="V57:V63" si="6">ROUND(E57*U57,2)</f>
        <v>1.45</v>
      </c>
      <c r="W57" s="156"/>
      <c r="X57" s="156" t="s">
        <v>139</v>
      </c>
      <c r="Y57" s="156" t="s">
        <v>120</v>
      </c>
      <c r="Z57" s="146"/>
      <c r="AA57" s="146"/>
      <c r="AB57" s="146"/>
      <c r="AC57" s="146"/>
      <c r="AD57" s="146"/>
      <c r="AE57" s="146"/>
      <c r="AF57" s="146"/>
      <c r="AG57" s="146" t="s">
        <v>140</v>
      </c>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row>
    <row r="58" spans="1:60" ht="22.5" outlineLevel="1" x14ac:dyDescent="0.2">
      <c r="A58" s="180">
        <v>18</v>
      </c>
      <c r="B58" s="181" t="s">
        <v>209</v>
      </c>
      <c r="C58" s="188" t="s">
        <v>210</v>
      </c>
      <c r="D58" s="182" t="s">
        <v>0</v>
      </c>
      <c r="E58" s="183">
        <v>2213.0097999999998</v>
      </c>
      <c r="F58" s="184"/>
      <c r="G58" s="185">
        <f t="shared" si="0"/>
        <v>0</v>
      </c>
      <c r="H58" s="184">
        <v>0</v>
      </c>
      <c r="I58" s="185">
        <f t="shared" si="1"/>
        <v>0</v>
      </c>
      <c r="J58" s="184">
        <v>1.4</v>
      </c>
      <c r="K58" s="185">
        <f t="shared" si="2"/>
        <v>3098.21</v>
      </c>
      <c r="L58" s="185">
        <v>21</v>
      </c>
      <c r="M58" s="185">
        <f t="shared" si="3"/>
        <v>0</v>
      </c>
      <c r="N58" s="183">
        <v>0</v>
      </c>
      <c r="O58" s="183">
        <f t="shared" si="4"/>
        <v>0</v>
      </c>
      <c r="P58" s="183">
        <v>0</v>
      </c>
      <c r="Q58" s="183">
        <f t="shared" si="5"/>
        <v>0</v>
      </c>
      <c r="R58" s="185"/>
      <c r="S58" s="185" t="s">
        <v>118</v>
      </c>
      <c r="T58" s="186" t="s">
        <v>118</v>
      </c>
      <c r="U58" s="156">
        <v>0</v>
      </c>
      <c r="V58" s="156">
        <f t="shared" si="6"/>
        <v>0</v>
      </c>
      <c r="W58" s="156"/>
      <c r="X58" s="156" t="s">
        <v>139</v>
      </c>
      <c r="Y58" s="156" t="s">
        <v>120</v>
      </c>
      <c r="Z58" s="146"/>
      <c r="AA58" s="146"/>
      <c r="AB58" s="146"/>
      <c r="AC58" s="146"/>
      <c r="AD58" s="146"/>
      <c r="AE58" s="146"/>
      <c r="AF58" s="146"/>
      <c r="AG58" s="146" t="s">
        <v>140</v>
      </c>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row>
    <row r="59" spans="1:60" ht="22.5" outlineLevel="1" x14ac:dyDescent="0.2">
      <c r="A59" s="180">
        <v>19</v>
      </c>
      <c r="B59" s="181" t="s">
        <v>211</v>
      </c>
      <c r="C59" s="188" t="s">
        <v>212</v>
      </c>
      <c r="D59" s="182" t="s">
        <v>188</v>
      </c>
      <c r="E59" s="183">
        <v>1</v>
      </c>
      <c r="F59" s="184"/>
      <c r="G59" s="185">
        <f t="shared" si="0"/>
        <v>0</v>
      </c>
      <c r="H59" s="184">
        <v>0</v>
      </c>
      <c r="I59" s="185">
        <f t="shared" si="1"/>
        <v>0</v>
      </c>
      <c r="J59" s="184">
        <v>39800</v>
      </c>
      <c r="K59" s="185">
        <f t="shared" si="2"/>
        <v>39800</v>
      </c>
      <c r="L59" s="185">
        <v>21</v>
      </c>
      <c r="M59" s="185">
        <f t="shared" si="3"/>
        <v>0</v>
      </c>
      <c r="N59" s="183">
        <v>0</v>
      </c>
      <c r="O59" s="183">
        <f t="shared" si="4"/>
        <v>0</v>
      </c>
      <c r="P59" s="183">
        <v>0</v>
      </c>
      <c r="Q59" s="183">
        <f t="shared" si="5"/>
        <v>0</v>
      </c>
      <c r="R59" s="185"/>
      <c r="S59" s="185" t="s">
        <v>162</v>
      </c>
      <c r="T59" s="186" t="s">
        <v>119</v>
      </c>
      <c r="U59" s="156">
        <v>0</v>
      </c>
      <c r="V59" s="156">
        <f t="shared" si="6"/>
        <v>0</v>
      </c>
      <c r="W59" s="156"/>
      <c r="X59" s="156" t="s">
        <v>139</v>
      </c>
      <c r="Y59" s="156" t="s">
        <v>120</v>
      </c>
      <c r="Z59" s="146"/>
      <c r="AA59" s="146"/>
      <c r="AB59" s="146"/>
      <c r="AC59" s="146"/>
      <c r="AD59" s="146"/>
      <c r="AE59" s="146"/>
      <c r="AF59" s="146"/>
      <c r="AG59" s="146" t="s">
        <v>140</v>
      </c>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row>
    <row r="60" spans="1:60" ht="33.75" outlineLevel="1" x14ac:dyDescent="0.2">
      <c r="A60" s="180">
        <v>20</v>
      </c>
      <c r="B60" s="181" t="s">
        <v>213</v>
      </c>
      <c r="C60" s="188" t="s">
        <v>214</v>
      </c>
      <c r="D60" s="182" t="s">
        <v>215</v>
      </c>
      <c r="E60" s="183">
        <v>2</v>
      </c>
      <c r="F60" s="184"/>
      <c r="G60" s="185">
        <f t="shared" si="0"/>
        <v>0</v>
      </c>
      <c r="H60" s="184">
        <v>0</v>
      </c>
      <c r="I60" s="185">
        <f t="shared" si="1"/>
        <v>0</v>
      </c>
      <c r="J60" s="184">
        <v>34980</v>
      </c>
      <c r="K60" s="185">
        <f t="shared" si="2"/>
        <v>69960</v>
      </c>
      <c r="L60" s="185">
        <v>21</v>
      </c>
      <c r="M60" s="185">
        <f t="shared" si="3"/>
        <v>0</v>
      </c>
      <c r="N60" s="183">
        <v>0</v>
      </c>
      <c r="O60" s="183">
        <f t="shared" si="4"/>
        <v>0</v>
      </c>
      <c r="P60" s="183">
        <v>0</v>
      </c>
      <c r="Q60" s="183">
        <f t="shared" si="5"/>
        <v>0</v>
      </c>
      <c r="R60" s="185"/>
      <c r="S60" s="185" t="s">
        <v>162</v>
      </c>
      <c r="T60" s="186" t="s">
        <v>119</v>
      </c>
      <c r="U60" s="156">
        <v>0</v>
      </c>
      <c r="V60" s="156">
        <f t="shared" si="6"/>
        <v>0</v>
      </c>
      <c r="W60" s="156"/>
      <c r="X60" s="156" t="s">
        <v>139</v>
      </c>
      <c r="Y60" s="156" t="s">
        <v>120</v>
      </c>
      <c r="Z60" s="146"/>
      <c r="AA60" s="146"/>
      <c r="AB60" s="146"/>
      <c r="AC60" s="146"/>
      <c r="AD60" s="146"/>
      <c r="AE60" s="146"/>
      <c r="AF60" s="146"/>
      <c r="AG60" s="146" t="s">
        <v>140</v>
      </c>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row>
    <row r="61" spans="1:60" ht="22.5" outlineLevel="1" x14ac:dyDescent="0.2">
      <c r="A61" s="180">
        <v>24</v>
      </c>
      <c r="B61" s="181" t="s">
        <v>216</v>
      </c>
      <c r="C61" s="188" t="s">
        <v>582</v>
      </c>
      <c r="D61" s="182" t="s">
        <v>215</v>
      </c>
      <c r="E61" s="183">
        <v>2</v>
      </c>
      <c r="F61" s="184"/>
      <c r="G61" s="185">
        <f t="shared" si="0"/>
        <v>0</v>
      </c>
      <c r="H61" s="184">
        <v>0</v>
      </c>
      <c r="I61" s="185">
        <f t="shared" si="1"/>
        <v>0</v>
      </c>
      <c r="J61" s="184">
        <v>3228</v>
      </c>
      <c r="K61" s="185">
        <f t="shared" si="2"/>
        <v>6456</v>
      </c>
      <c r="L61" s="185">
        <v>21</v>
      </c>
      <c r="M61" s="185">
        <f t="shared" si="3"/>
        <v>0</v>
      </c>
      <c r="N61" s="183">
        <v>0</v>
      </c>
      <c r="O61" s="183">
        <f t="shared" si="4"/>
        <v>0</v>
      </c>
      <c r="P61" s="183">
        <v>0</v>
      </c>
      <c r="Q61" s="183">
        <f t="shared" si="5"/>
        <v>0</v>
      </c>
      <c r="R61" s="185"/>
      <c r="S61" s="185" t="s">
        <v>162</v>
      </c>
      <c r="T61" s="186" t="s">
        <v>119</v>
      </c>
      <c r="U61" s="156">
        <v>0</v>
      </c>
      <c r="V61" s="156">
        <f t="shared" si="6"/>
        <v>0</v>
      </c>
      <c r="W61" s="156"/>
      <c r="X61" s="156" t="s">
        <v>139</v>
      </c>
      <c r="Y61" s="156" t="s">
        <v>120</v>
      </c>
      <c r="Z61" s="146"/>
      <c r="AA61" s="146"/>
      <c r="AB61" s="146"/>
      <c r="AC61" s="146"/>
      <c r="AD61" s="146"/>
      <c r="AE61" s="146"/>
      <c r="AF61" s="146"/>
      <c r="AG61" s="146" t="s">
        <v>140</v>
      </c>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row>
    <row r="62" spans="1:60" ht="22.5" outlineLevel="1" x14ac:dyDescent="0.2">
      <c r="A62" s="180">
        <v>25</v>
      </c>
      <c r="B62" s="181" t="s">
        <v>217</v>
      </c>
      <c r="C62" s="188" t="s">
        <v>218</v>
      </c>
      <c r="D62" s="182" t="s">
        <v>215</v>
      </c>
      <c r="E62" s="183">
        <v>12</v>
      </c>
      <c r="F62" s="184"/>
      <c r="G62" s="185">
        <f t="shared" si="0"/>
        <v>0</v>
      </c>
      <c r="H62" s="184">
        <v>0</v>
      </c>
      <c r="I62" s="185">
        <f t="shared" si="1"/>
        <v>0</v>
      </c>
      <c r="J62" s="184">
        <v>624</v>
      </c>
      <c r="K62" s="185">
        <f t="shared" si="2"/>
        <v>7488</v>
      </c>
      <c r="L62" s="185">
        <v>21</v>
      </c>
      <c r="M62" s="185">
        <f t="shared" si="3"/>
        <v>0</v>
      </c>
      <c r="N62" s="183">
        <v>0</v>
      </c>
      <c r="O62" s="183">
        <f t="shared" si="4"/>
        <v>0</v>
      </c>
      <c r="P62" s="183">
        <v>0</v>
      </c>
      <c r="Q62" s="183">
        <f t="shared" si="5"/>
        <v>0</v>
      </c>
      <c r="R62" s="185"/>
      <c r="S62" s="185" t="s">
        <v>162</v>
      </c>
      <c r="T62" s="186" t="s">
        <v>119</v>
      </c>
      <c r="U62" s="156">
        <v>0</v>
      </c>
      <c r="V62" s="156">
        <f t="shared" si="6"/>
        <v>0</v>
      </c>
      <c r="W62" s="156"/>
      <c r="X62" s="156" t="s">
        <v>139</v>
      </c>
      <c r="Y62" s="156" t="s">
        <v>120</v>
      </c>
      <c r="Z62" s="146"/>
      <c r="AA62" s="146"/>
      <c r="AB62" s="146"/>
      <c r="AC62" s="146"/>
      <c r="AD62" s="146"/>
      <c r="AE62" s="146"/>
      <c r="AF62" s="146"/>
      <c r="AG62" s="146" t="s">
        <v>140</v>
      </c>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row>
    <row r="63" spans="1:60" ht="33.75" outlineLevel="1" x14ac:dyDescent="0.2">
      <c r="A63" s="165">
        <v>26</v>
      </c>
      <c r="B63" s="166" t="s">
        <v>219</v>
      </c>
      <c r="C63" s="174" t="s">
        <v>220</v>
      </c>
      <c r="D63" s="167" t="s">
        <v>221</v>
      </c>
      <c r="E63" s="168">
        <v>12.702</v>
      </c>
      <c r="F63" s="169"/>
      <c r="G63" s="170">
        <f t="shared" si="0"/>
        <v>0</v>
      </c>
      <c r="H63" s="169">
        <v>0</v>
      </c>
      <c r="I63" s="170">
        <f t="shared" si="1"/>
        <v>0</v>
      </c>
      <c r="J63" s="169">
        <v>2490</v>
      </c>
      <c r="K63" s="170">
        <f t="shared" si="2"/>
        <v>31627.98</v>
      </c>
      <c r="L63" s="170">
        <v>21</v>
      </c>
      <c r="M63" s="170">
        <f t="shared" si="3"/>
        <v>0</v>
      </c>
      <c r="N63" s="168">
        <v>0</v>
      </c>
      <c r="O63" s="168">
        <f t="shared" si="4"/>
        <v>0</v>
      </c>
      <c r="P63" s="168">
        <v>0</v>
      </c>
      <c r="Q63" s="168">
        <f t="shared" si="5"/>
        <v>0</v>
      </c>
      <c r="R63" s="170"/>
      <c r="S63" s="170" t="s">
        <v>162</v>
      </c>
      <c r="T63" s="171" t="s">
        <v>119</v>
      </c>
      <c r="U63" s="156">
        <v>0</v>
      </c>
      <c r="V63" s="156">
        <f t="shared" si="6"/>
        <v>0</v>
      </c>
      <c r="W63" s="156"/>
      <c r="X63" s="156" t="s">
        <v>139</v>
      </c>
      <c r="Y63" s="156" t="s">
        <v>120</v>
      </c>
      <c r="Z63" s="146"/>
      <c r="AA63" s="146"/>
      <c r="AB63" s="146"/>
      <c r="AC63" s="146"/>
      <c r="AD63" s="146"/>
      <c r="AE63" s="146"/>
      <c r="AF63" s="146"/>
      <c r="AG63" s="146" t="s">
        <v>140</v>
      </c>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row>
    <row r="64" spans="1:60" outlineLevel="2" x14ac:dyDescent="0.2">
      <c r="A64" s="153"/>
      <c r="B64" s="154"/>
      <c r="C64" s="187" t="s">
        <v>222</v>
      </c>
      <c r="D64" s="178"/>
      <c r="E64" s="179">
        <v>4.0281000000000002</v>
      </c>
      <c r="F64" s="156"/>
      <c r="G64" s="156"/>
      <c r="H64" s="156"/>
      <c r="I64" s="156"/>
      <c r="J64" s="156"/>
      <c r="K64" s="156"/>
      <c r="L64" s="156"/>
      <c r="M64" s="156"/>
      <c r="N64" s="155"/>
      <c r="O64" s="155"/>
      <c r="P64" s="155"/>
      <c r="Q64" s="155"/>
      <c r="R64" s="156"/>
      <c r="S64" s="156"/>
      <c r="T64" s="156"/>
      <c r="U64" s="156"/>
      <c r="V64" s="156"/>
      <c r="W64" s="156"/>
      <c r="X64" s="156"/>
      <c r="Y64" s="156"/>
      <c r="Z64" s="146"/>
      <c r="AA64" s="146"/>
      <c r="AB64" s="146"/>
      <c r="AC64" s="146"/>
      <c r="AD64" s="146"/>
      <c r="AE64" s="146"/>
      <c r="AF64" s="146"/>
      <c r="AG64" s="146" t="s">
        <v>142</v>
      </c>
      <c r="AH64" s="146">
        <v>0</v>
      </c>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row>
    <row r="65" spans="1:60" outlineLevel="3" x14ac:dyDescent="0.2">
      <c r="A65" s="153"/>
      <c r="B65" s="154"/>
      <c r="C65" s="187" t="s">
        <v>223</v>
      </c>
      <c r="D65" s="178"/>
      <c r="E65" s="179">
        <v>-0.78300000000000003</v>
      </c>
      <c r="F65" s="156"/>
      <c r="G65" s="156"/>
      <c r="H65" s="156"/>
      <c r="I65" s="156"/>
      <c r="J65" s="156"/>
      <c r="K65" s="156"/>
      <c r="L65" s="156"/>
      <c r="M65" s="156"/>
      <c r="N65" s="155"/>
      <c r="O65" s="155"/>
      <c r="P65" s="155"/>
      <c r="Q65" s="155"/>
      <c r="R65" s="156"/>
      <c r="S65" s="156"/>
      <c r="T65" s="156"/>
      <c r="U65" s="156"/>
      <c r="V65" s="156"/>
      <c r="W65" s="156"/>
      <c r="X65" s="156"/>
      <c r="Y65" s="156"/>
      <c r="Z65" s="146"/>
      <c r="AA65" s="146"/>
      <c r="AB65" s="146"/>
      <c r="AC65" s="146"/>
      <c r="AD65" s="146"/>
      <c r="AE65" s="146"/>
      <c r="AF65" s="146"/>
      <c r="AG65" s="146" t="s">
        <v>142</v>
      </c>
      <c r="AH65" s="146">
        <v>0</v>
      </c>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row>
    <row r="66" spans="1:60" outlineLevel="3" x14ac:dyDescent="0.2">
      <c r="A66" s="153"/>
      <c r="B66" s="154"/>
      <c r="C66" s="187" t="s">
        <v>224</v>
      </c>
      <c r="D66" s="178"/>
      <c r="E66" s="179">
        <v>9.4568999999999992</v>
      </c>
      <c r="F66" s="156"/>
      <c r="G66" s="156"/>
      <c r="H66" s="156"/>
      <c r="I66" s="156"/>
      <c r="J66" s="156"/>
      <c r="K66" s="156"/>
      <c r="L66" s="156"/>
      <c r="M66" s="156"/>
      <c r="N66" s="155"/>
      <c r="O66" s="155"/>
      <c r="P66" s="155"/>
      <c r="Q66" s="155"/>
      <c r="R66" s="156"/>
      <c r="S66" s="156"/>
      <c r="T66" s="156"/>
      <c r="U66" s="156"/>
      <c r="V66" s="156"/>
      <c r="W66" s="156"/>
      <c r="X66" s="156"/>
      <c r="Y66" s="156"/>
      <c r="Z66" s="146"/>
      <c r="AA66" s="146"/>
      <c r="AB66" s="146"/>
      <c r="AC66" s="146"/>
      <c r="AD66" s="146"/>
      <c r="AE66" s="146"/>
      <c r="AF66" s="146"/>
      <c r="AG66" s="146" t="s">
        <v>142</v>
      </c>
      <c r="AH66" s="146">
        <v>0</v>
      </c>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row>
    <row r="67" spans="1:60" ht="33.75" outlineLevel="1" x14ac:dyDescent="0.2">
      <c r="A67" s="180">
        <v>27</v>
      </c>
      <c r="B67" s="181" t="s">
        <v>225</v>
      </c>
      <c r="C67" s="188" t="s">
        <v>226</v>
      </c>
      <c r="D67" s="182" t="s">
        <v>215</v>
      </c>
      <c r="E67" s="183">
        <v>1</v>
      </c>
      <c r="F67" s="184"/>
      <c r="G67" s="185">
        <f>ROUND(E67*F67,2)</f>
        <v>0</v>
      </c>
      <c r="H67" s="184">
        <v>13980</v>
      </c>
      <c r="I67" s="185">
        <f>ROUND(E67*H67,2)</f>
        <v>13980</v>
      </c>
      <c r="J67" s="184">
        <v>0</v>
      </c>
      <c r="K67" s="185">
        <f>ROUND(E67*J67,2)</f>
        <v>0</v>
      </c>
      <c r="L67" s="185">
        <v>21</v>
      </c>
      <c r="M67" s="185">
        <f>G67*(1+L67/100)</f>
        <v>0</v>
      </c>
      <c r="N67" s="183">
        <v>0</v>
      </c>
      <c r="O67" s="183">
        <f>ROUND(E67*N67,2)</f>
        <v>0</v>
      </c>
      <c r="P67" s="183">
        <v>0</v>
      </c>
      <c r="Q67" s="183">
        <f>ROUND(E67*P67,2)</f>
        <v>0</v>
      </c>
      <c r="R67" s="185"/>
      <c r="S67" s="185" t="s">
        <v>162</v>
      </c>
      <c r="T67" s="186" t="s">
        <v>119</v>
      </c>
      <c r="U67" s="156">
        <v>0</v>
      </c>
      <c r="V67" s="156">
        <f>ROUND(E67*U67,2)</f>
        <v>0</v>
      </c>
      <c r="W67" s="156"/>
      <c r="X67" s="156" t="s">
        <v>163</v>
      </c>
      <c r="Y67" s="156" t="s">
        <v>120</v>
      </c>
      <c r="Z67" s="146"/>
      <c r="AA67" s="146"/>
      <c r="AB67" s="146"/>
      <c r="AC67" s="146"/>
      <c r="AD67" s="146"/>
      <c r="AE67" s="146"/>
      <c r="AF67" s="146"/>
      <c r="AG67" s="146" t="s">
        <v>164</v>
      </c>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row>
    <row r="68" spans="1:60" x14ac:dyDescent="0.2">
      <c r="A68" s="158" t="s">
        <v>115</v>
      </c>
      <c r="B68" s="159" t="s">
        <v>78</v>
      </c>
      <c r="C68" s="173" t="s">
        <v>79</v>
      </c>
      <c r="D68" s="160"/>
      <c r="E68" s="161"/>
      <c r="F68" s="162"/>
      <c r="G68" s="162">
        <f>SUMIF(AG69:AG71,"&lt;&gt;NOR",G69:G71)</f>
        <v>0</v>
      </c>
      <c r="H68" s="162"/>
      <c r="I68" s="162">
        <f>SUM(I69:I71)</f>
        <v>12635.18</v>
      </c>
      <c r="J68" s="162"/>
      <c r="K68" s="162">
        <f>SUM(K69:K71)</f>
        <v>4175.6100000000006</v>
      </c>
      <c r="L68" s="162"/>
      <c r="M68" s="162">
        <f>SUM(M69:M71)</f>
        <v>0</v>
      </c>
      <c r="N68" s="161"/>
      <c r="O68" s="161">
        <f>SUM(O69:O71)</f>
        <v>0.01</v>
      </c>
      <c r="P68" s="161"/>
      <c r="Q68" s="161">
        <f>SUM(Q69:Q71)</f>
        <v>0</v>
      </c>
      <c r="R68" s="162"/>
      <c r="S68" s="162"/>
      <c r="T68" s="163"/>
      <c r="U68" s="157"/>
      <c r="V68" s="157">
        <f>SUM(V69:V71)</f>
        <v>4.01</v>
      </c>
      <c r="W68" s="157"/>
      <c r="X68" s="157"/>
      <c r="Y68" s="157"/>
      <c r="AG68" t="s">
        <v>116</v>
      </c>
    </row>
    <row r="69" spans="1:60" ht="22.5" outlineLevel="1" x14ac:dyDescent="0.2">
      <c r="A69" s="180">
        <v>28</v>
      </c>
      <c r="B69" s="181" t="s">
        <v>227</v>
      </c>
      <c r="C69" s="188" t="s">
        <v>228</v>
      </c>
      <c r="D69" s="182" t="s">
        <v>138</v>
      </c>
      <c r="E69" s="183">
        <v>9.5459999999999994</v>
      </c>
      <c r="F69" s="184"/>
      <c r="G69" s="185">
        <f>ROUND(E69*F69,2)</f>
        <v>0</v>
      </c>
      <c r="H69" s="184">
        <v>1323.61</v>
      </c>
      <c r="I69" s="185">
        <f>ROUND(E69*H69,2)</f>
        <v>12635.18</v>
      </c>
      <c r="J69" s="184">
        <v>291.39</v>
      </c>
      <c r="K69" s="185">
        <f>ROUND(E69*J69,2)</f>
        <v>2781.61</v>
      </c>
      <c r="L69" s="185">
        <v>21</v>
      </c>
      <c r="M69" s="185">
        <f>G69*(1+L69/100)</f>
        <v>0</v>
      </c>
      <c r="N69" s="183">
        <v>1.3699999999999999E-3</v>
      </c>
      <c r="O69" s="183">
        <f>ROUND(E69*N69,2)</f>
        <v>0.01</v>
      </c>
      <c r="P69" s="183">
        <v>0</v>
      </c>
      <c r="Q69" s="183">
        <f>ROUND(E69*P69,2)</f>
        <v>0</v>
      </c>
      <c r="R69" s="185"/>
      <c r="S69" s="185" t="s">
        <v>118</v>
      </c>
      <c r="T69" s="186" t="s">
        <v>118</v>
      </c>
      <c r="U69" s="156">
        <v>0.42</v>
      </c>
      <c r="V69" s="156">
        <f>ROUND(E69*U69,2)</f>
        <v>4.01</v>
      </c>
      <c r="W69" s="156"/>
      <c r="X69" s="156" t="s">
        <v>139</v>
      </c>
      <c r="Y69" s="156" t="s">
        <v>120</v>
      </c>
      <c r="Z69" s="146"/>
      <c r="AA69" s="146"/>
      <c r="AB69" s="146"/>
      <c r="AC69" s="146"/>
      <c r="AD69" s="146"/>
      <c r="AE69" s="146"/>
      <c r="AF69" s="146"/>
      <c r="AG69" s="146" t="s">
        <v>140</v>
      </c>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row>
    <row r="70" spans="1:60" ht="22.5" outlineLevel="1" x14ac:dyDescent="0.2">
      <c r="A70" s="180">
        <v>29</v>
      </c>
      <c r="B70" s="181" t="s">
        <v>229</v>
      </c>
      <c r="C70" s="188" t="s">
        <v>230</v>
      </c>
      <c r="D70" s="182" t="s">
        <v>0</v>
      </c>
      <c r="E70" s="183">
        <v>164.1679</v>
      </c>
      <c r="F70" s="184"/>
      <c r="G70" s="185">
        <f>ROUND(E70*F70,2)</f>
        <v>0</v>
      </c>
      <c r="H70" s="184">
        <v>0</v>
      </c>
      <c r="I70" s="185">
        <f>ROUND(E70*H70,2)</f>
        <v>0</v>
      </c>
      <c r="J70" s="184">
        <v>2.4</v>
      </c>
      <c r="K70" s="185">
        <f>ROUND(E70*J70,2)</f>
        <v>394</v>
      </c>
      <c r="L70" s="185">
        <v>21</v>
      </c>
      <c r="M70" s="185">
        <f>G70*(1+L70/100)</f>
        <v>0</v>
      </c>
      <c r="N70" s="183">
        <v>0</v>
      </c>
      <c r="O70" s="183">
        <f>ROUND(E70*N70,2)</f>
        <v>0</v>
      </c>
      <c r="P70" s="183">
        <v>0</v>
      </c>
      <c r="Q70" s="183">
        <f>ROUND(E70*P70,2)</f>
        <v>0</v>
      </c>
      <c r="R70" s="185"/>
      <c r="S70" s="185" t="s">
        <v>118</v>
      </c>
      <c r="T70" s="186" t="s">
        <v>118</v>
      </c>
      <c r="U70" s="156">
        <v>0</v>
      </c>
      <c r="V70" s="156">
        <f>ROUND(E70*U70,2)</f>
        <v>0</v>
      </c>
      <c r="W70" s="156"/>
      <c r="X70" s="156" t="s">
        <v>139</v>
      </c>
      <c r="Y70" s="156" t="s">
        <v>120</v>
      </c>
      <c r="Z70" s="146"/>
      <c r="AA70" s="146"/>
      <c r="AB70" s="146"/>
      <c r="AC70" s="146"/>
      <c r="AD70" s="146"/>
      <c r="AE70" s="146"/>
      <c r="AF70" s="146"/>
      <c r="AG70" s="146" t="s">
        <v>140</v>
      </c>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row>
    <row r="71" spans="1:60" outlineLevel="1" x14ac:dyDescent="0.2">
      <c r="A71" s="180">
        <v>30</v>
      </c>
      <c r="B71" s="181" t="s">
        <v>231</v>
      </c>
      <c r="C71" s="188" t="s">
        <v>232</v>
      </c>
      <c r="D71" s="182" t="s">
        <v>188</v>
      </c>
      <c r="E71" s="183">
        <v>1</v>
      </c>
      <c r="F71" s="184"/>
      <c r="G71" s="185">
        <f>ROUND(E71*F71,2)</f>
        <v>0</v>
      </c>
      <c r="H71" s="184">
        <v>0</v>
      </c>
      <c r="I71" s="185">
        <f>ROUND(E71*H71,2)</f>
        <v>0</v>
      </c>
      <c r="J71" s="184">
        <v>1000</v>
      </c>
      <c r="K71" s="185">
        <f>ROUND(E71*J71,2)</f>
        <v>1000</v>
      </c>
      <c r="L71" s="185">
        <v>21</v>
      </c>
      <c r="M71" s="185">
        <f>G71*(1+L71/100)</f>
        <v>0</v>
      </c>
      <c r="N71" s="183">
        <v>0</v>
      </c>
      <c r="O71" s="183">
        <f>ROUND(E71*N71,2)</f>
        <v>0</v>
      </c>
      <c r="P71" s="183">
        <v>0</v>
      </c>
      <c r="Q71" s="183">
        <f>ROUND(E71*P71,2)</f>
        <v>0</v>
      </c>
      <c r="R71" s="185"/>
      <c r="S71" s="185" t="s">
        <v>162</v>
      </c>
      <c r="T71" s="186" t="s">
        <v>119</v>
      </c>
      <c r="U71" s="156">
        <v>0</v>
      </c>
      <c r="V71" s="156">
        <f>ROUND(E71*U71,2)</f>
        <v>0</v>
      </c>
      <c r="W71" s="156"/>
      <c r="X71" s="156" t="s">
        <v>139</v>
      </c>
      <c r="Y71" s="156" t="s">
        <v>120</v>
      </c>
      <c r="Z71" s="146"/>
      <c r="AA71" s="146"/>
      <c r="AB71" s="146"/>
      <c r="AC71" s="146"/>
      <c r="AD71" s="146"/>
      <c r="AE71" s="146"/>
      <c r="AF71" s="146"/>
      <c r="AG71" s="146" t="s">
        <v>140</v>
      </c>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row>
    <row r="72" spans="1:60" x14ac:dyDescent="0.2">
      <c r="A72" s="158" t="s">
        <v>115</v>
      </c>
      <c r="B72" s="159" t="s">
        <v>80</v>
      </c>
      <c r="C72" s="173" t="s">
        <v>81</v>
      </c>
      <c r="D72" s="160"/>
      <c r="E72" s="161"/>
      <c r="F72" s="162"/>
      <c r="G72" s="162">
        <f>SUMIF(AG73:AG81,"&lt;&gt;NOR",G73:G81)</f>
        <v>0</v>
      </c>
      <c r="H72" s="162"/>
      <c r="I72" s="162">
        <f>SUM(I73:I81)</f>
        <v>4404.22</v>
      </c>
      <c r="J72" s="162"/>
      <c r="K72" s="162">
        <f>SUM(K73:K81)</f>
        <v>8413.94</v>
      </c>
      <c r="L72" s="162"/>
      <c r="M72" s="162">
        <f>SUM(M73:M81)</f>
        <v>0</v>
      </c>
      <c r="N72" s="161"/>
      <c r="O72" s="161">
        <f>SUM(O73:O81)</f>
        <v>0.09</v>
      </c>
      <c r="P72" s="161"/>
      <c r="Q72" s="161">
        <f>SUM(Q73:Q81)</f>
        <v>0</v>
      </c>
      <c r="R72" s="162"/>
      <c r="S72" s="162"/>
      <c r="T72" s="163"/>
      <c r="U72" s="157"/>
      <c r="V72" s="157">
        <f>SUM(V73:V81)</f>
        <v>9.98</v>
      </c>
      <c r="W72" s="157"/>
      <c r="X72" s="157"/>
      <c r="Y72" s="157"/>
      <c r="AG72" t="s">
        <v>116</v>
      </c>
    </row>
    <row r="73" spans="1:60" ht="22.5" outlineLevel="1" x14ac:dyDescent="0.2">
      <c r="A73" s="165">
        <v>31</v>
      </c>
      <c r="B73" s="166" t="s">
        <v>233</v>
      </c>
      <c r="C73" s="174" t="s">
        <v>234</v>
      </c>
      <c r="D73" s="167" t="s">
        <v>138</v>
      </c>
      <c r="E73" s="168">
        <v>4.9000000000000004</v>
      </c>
      <c r="F73" s="169"/>
      <c r="G73" s="170">
        <f>ROUND(E73*F73,2)</f>
        <v>0</v>
      </c>
      <c r="H73" s="169">
        <v>0</v>
      </c>
      <c r="I73" s="170">
        <f>ROUND(E73*H73,2)</f>
        <v>0</v>
      </c>
      <c r="J73" s="169">
        <v>903</v>
      </c>
      <c r="K73" s="170">
        <f>ROUND(E73*J73,2)</f>
        <v>4424.7</v>
      </c>
      <c r="L73" s="170">
        <v>21</v>
      </c>
      <c r="M73" s="170">
        <f>G73*(1+L73/100)</f>
        <v>0</v>
      </c>
      <c r="N73" s="168">
        <v>0</v>
      </c>
      <c r="O73" s="168">
        <f>ROUND(E73*N73,2)</f>
        <v>0</v>
      </c>
      <c r="P73" s="168">
        <v>0</v>
      </c>
      <c r="Q73" s="168">
        <f>ROUND(E73*P73,2)</f>
        <v>0</v>
      </c>
      <c r="R73" s="170"/>
      <c r="S73" s="170" t="s">
        <v>118</v>
      </c>
      <c r="T73" s="171" t="s">
        <v>118</v>
      </c>
      <c r="U73" s="156">
        <v>1.26</v>
      </c>
      <c r="V73" s="156">
        <f>ROUND(E73*U73,2)</f>
        <v>6.17</v>
      </c>
      <c r="W73" s="156"/>
      <c r="X73" s="156" t="s">
        <v>139</v>
      </c>
      <c r="Y73" s="156" t="s">
        <v>120</v>
      </c>
      <c r="Z73" s="146"/>
      <c r="AA73" s="146"/>
      <c r="AB73" s="146"/>
      <c r="AC73" s="146"/>
      <c r="AD73" s="146"/>
      <c r="AE73" s="146"/>
      <c r="AF73" s="146"/>
      <c r="AG73" s="146" t="s">
        <v>140</v>
      </c>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row>
    <row r="74" spans="1:60" outlineLevel="2" x14ac:dyDescent="0.2">
      <c r="A74" s="153"/>
      <c r="B74" s="154"/>
      <c r="C74" s="187" t="s">
        <v>235</v>
      </c>
      <c r="D74" s="178"/>
      <c r="E74" s="179">
        <v>4.9000000000000004</v>
      </c>
      <c r="F74" s="156"/>
      <c r="G74" s="156"/>
      <c r="H74" s="156"/>
      <c r="I74" s="156"/>
      <c r="J74" s="156"/>
      <c r="K74" s="156"/>
      <c r="L74" s="156"/>
      <c r="M74" s="156"/>
      <c r="N74" s="155"/>
      <c r="O74" s="155"/>
      <c r="P74" s="155"/>
      <c r="Q74" s="155"/>
      <c r="R74" s="156"/>
      <c r="S74" s="156"/>
      <c r="T74" s="156"/>
      <c r="U74" s="156"/>
      <c r="V74" s="156"/>
      <c r="W74" s="156"/>
      <c r="X74" s="156"/>
      <c r="Y74" s="156"/>
      <c r="Z74" s="146"/>
      <c r="AA74" s="146"/>
      <c r="AB74" s="146"/>
      <c r="AC74" s="146"/>
      <c r="AD74" s="146"/>
      <c r="AE74" s="146"/>
      <c r="AF74" s="146"/>
      <c r="AG74" s="146" t="s">
        <v>142</v>
      </c>
      <c r="AH74" s="146">
        <v>0</v>
      </c>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row>
    <row r="75" spans="1:60" outlineLevel="1" x14ac:dyDescent="0.2">
      <c r="A75" s="165">
        <v>32</v>
      </c>
      <c r="B75" s="166" t="s">
        <v>236</v>
      </c>
      <c r="C75" s="174" t="s">
        <v>237</v>
      </c>
      <c r="D75" s="167" t="s">
        <v>238</v>
      </c>
      <c r="E75" s="168">
        <v>9.8000000000000007</v>
      </c>
      <c r="F75" s="169"/>
      <c r="G75" s="170">
        <f>ROUND(E75*F75,2)</f>
        <v>0</v>
      </c>
      <c r="H75" s="169">
        <v>9.81</v>
      </c>
      <c r="I75" s="170">
        <f>ROUND(E75*H75,2)</f>
        <v>96.14</v>
      </c>
      <c r="J75" s="169">
        <v>297.19</v>
      </c>
      <c r="K75" s="170">
        <f>ROUND(E75*J75,2)</f>
        <v>2912.46</v>
      </c>
      <c r="L75" s="170">
        <v>21</v>
      </c>
      <c r="M75" s="170">
        <f>G75*(1+L75/100)</f>
        <v>0</v>
      </c>
      <c r="N75" s="168">
        <v>0</v>
      </c>
      <c r="O75" s="168">
        <f>ROUND(E75*N75,2)</f>
        <v>0</v>
      </c>
      <c r="P75" s="168">
        <v>0</v>
      </c>
      <c r="Q75" s="168">
        <f>ROUND(E75*P75,2)</f>
        <v>0</v>
      </c>
      <c r="R75" s="170"/>
      <c r="S75" s="170" t="s">
        <v>118</v>
      </c>
      <c r="T75" s="171" t="s">
        <v>118</v>
      </c>
      <c r="U75" s="156">
        <v>0.373</v>
      </c>
      <c r="V75" s="156">
        <f>ROUND(E75*U75,2)</f>
        <v>3.66</v>
      </c>
      <c r="W75" s="156"/>
      <c r="X75" s="156" t="s">
        <v>139</v>
      </c>
      <c r="Y75" s="156" t="s">
        <v>120</v>
      </c>
      <c r="Z75" s="146"/>
      <c r="AA75" s="146"/>
      <c r="AB75" s="146"/>
      <c r="AC75" s="146"/>
      <c r="AD75" s="146"/>
      <c r="AE75" s="146"/>
      <c r="AF75" s="146"/>
      <c r="AG75" s="146" t="s">
        <v>140</v>
      </c>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row>
    <row r="76" spans="1:60" outlineLevel="2" x14ac:dyDescent="0.2">
      <c r="A76" s="153"/>
      <c r="B76" s="154"/>
      <c r="C76" s="187" t="s">
        <v>239</v>
      </c>
      <c r="D76" s="178"/>
      <c r="E76" s="179">
        <v>9.8000000000000007</v>
      </c>
      <c r="F76" s="156"/>
      <c r="G76" s="156"/>
      <c r="H76" s="156"/>
      <c r="I76" s="156"/>
      <c r="J76" s="156"/>
      <c r="K76" s="156"/>
      <c r="L76" s="156"/>
      <c r="M76" s="156"/>
      <c r="N76" s="155"/>
      <c r="O76" s="155"/>
      <c r="P76" s="155"/>
      <c r="Q76" s="155"/>
      <c r="R76" s="156"/>
      <c r="S76" s="156"/>
      <c r="T76" s="156"/>
      <c r="U76" s="156"/>
      <c r="V76" s="156"/>
      <c r="W76" s="156"/>
      <c r="X76" s="156"/>
      <c r="Y76" s="156"/>
      <c r="Z76" s="146"/>
      <c r="AA76" s="146"/>
      <c r="AB76" s="146"/>
      <c r="AC76" s="146"/>
      <c r="AD76" s="146"/>
      <c r="AE76" s="146"/>
      <c r="AF76" s="146"/>
      <c r="AG76" s="146" t="s">
        <v>142</v>
      </c>
      <c r="AH76" s="146">
        <v>0</v>
      </c>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row>
    <row r="77" spans="1:60" ht="22.5" outlineLevel="1" x14ac:dyDescent="0.2">
      <c r="A77" s="180">
        <v>33</v>
      </c>
      <c r="B77" s="181" t="s">
        <v>240</v>
      </c>
      <c r="C77" s="188" t="s">
        <v>241</v>
      </c>
      <c r="D77" s="182" t="s">
        <v>138</v>
      </c>
      <c r="E77" s="183">
        <v>4.9000000000000004</v>
      </c>
      <c r="F77" s="184"/>
      <c r="G77" s="185">
        <f>ROUND(E77*F77,2)</f>
        <v>0</v>
      </c>
      <c r="H77" s="184">
        <v>0</v>
      </c>
      <c r="I77" s="185">
        <f>ROUND(E77*H77,2)</f>
        <v>0</v>
      </c>
      <c r="J77" s="184">
        <v>21.5</v>
      </c>
      <c r="K77" s="185">
        <f>ROUND(E77*J77,2)</f>
        <v>105.35</v>
      </c>
      <c r="L77" s="185">
        <v>21</v>
      </c>
      <c r="M77" s="185">
        <f>G77*(1+L77/100)</f>
        <v>0</v>
      </c>
      <c r="N77" s="183">
        <v>0</v>
      </c>
      <c r="O77" s="183">
        <f>ROUND(E77*N77,2)</f>
        <v>0</v>
      </c>
      <c r="P77" s="183">
        <v>0</v>
      </c>
      <c r="Q77" s="183">
        <f>ROUND(E77*P77,2)</f>
        <v>0</v>
      </c>
      <c r="R77" s="185"/>
      <c r="S77" s="185" t="s">
        <v>118</v>
      </c>
      <c r="T77" s="186" t="s">
        <v>118</v>
      </c>
      <c r="U77" s="156">
        <v>0.03</v>
      </c>
      <c r="V77" s="156">
        <f>ROUND(E77*U77,2)</f>
        <v>0.15</v>
      </c>
      <c r="W77" s="156"/>
      <c r="X77" s="156" t="s">
        <v>139</v>
      </c>
      <c r="Y77" s="156" t="s">
        <v>120</v>
      </c>
      <c r="Z77" s="146"/>
      <c r="AA77" s="146"/>
      <c r="AB77" s="146"/>
      <c r="AC77" s="146"/>
      <c r="AD77" s="146"/>
      <c r="AE77" s="146"/>
      <c r="AF77" s="146"/>
      <c r="AG77" s="146" t="s">
        <v>140</v>
      </c>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row>
    <row r="78" spans="1:60" ht="22.5" outlineLevel="1" x14ac:dyDescent="0.2">
      <c r="A78" s="180">
        <v>34</v>
      </c>
      <c r="B78" s="181" t="s">
        <v>242</v>
      </c>
      <c r="C78" s="188" t="s">
        <v>243</v>
      </c>
      <c r="D78" s="182" t="s">
        <v>138</v>
      </c>
      <c r="E78" s="183">
        <v>4.9000000000000004</v>
      </c>
      <c r="F78" s="184"/>
      <c r="G78" s="185">
        <f>ROUND(E78*F78,2)</f>
        <v>0</v>
      </c>
      <c r="H78" s="184">
        <v>16.7</v>
      </c>
      <c r="I78" s="185">
        <f>ROUND(E78*H78,2)</f>
        <v>81.83</v>
      </c>
      <c r="J78" s="184">
        <v>0</v>
      </c>
      <c r="K78" s="185">
        <f>ROUND(E78*J78,2)</f>
        <v>0</v>
      </c>
      <c r="L78" s="185">
        <v>21</v>
      </c>
      <c r="M78" s="185">
        <f>G78*(1+L78/100)</f>
        <v>0</v>
      </c>
      <c r="N78" s="183">
        <v>5.9999999999999995E-4</v>
      </c>
      <c r="O78" s="183">
        <f>ROUND(E78*N78,2)</f>
        <v>0</v>
      </c>
      <c r="P78" s="183">
        <v>0</v>
      </c>
      <c r="Q78" s="183">
        <f>ROUND(E78*P78,2)</f>
        <v>0</v>
      </c>
      <c r="R78" s="185"/>
      <c r="S78" s="185" t="s">
        <v>118</v>
      </c>
      <c r="T78" s="186" t="s">
        <v>118</v>
      </c>
      <c r="U78" s="156">
        <v>0</v>
      </c>
      <c r="V78" s="156">
        <f>ROUND(E78*U78,2)</f>
        <v>0</v>
      </c>
      <c r="W78" s="156"/>
      <c r="X78" s="156" t="s">
        <v>139</v>
      </c>
      <c r="Y78" s="156" t="s">
        <v>120</v>
      </c>
      <c r="Z78" s="146"/>
      <c r="AA78" s="146"/>
      <c r="AB78" s="146"/>
      <c r="AC78" s="146"/>
      <c r="AD78" s="146"/>
      <c r="AE78" s="146"/>
      <c r="AF78" s="146"/>
      <c r="AG78" s="146" t="s">
        <v>140</v>
      </c>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row>
    <row r="79" spans="1:60" ht="22.5" outlineLevel="1" x14ac:dyDescent="0.2">
      <c r="A79" s="180">
        <v>35</v>
      </c>
      <c r="B79" s="181" t="s">
        <v>244</v>
      </c>
      <c r="C79" s="188" t="s">
        <v>245</v>
      </c>
      <c r="D79" s="182" t="s">
        <v>0</v>
      </c>
      <c r="E79" s="183">
        <v>118.46729999999999</v>
      </c>
      <c r="F79" s="184"/>
      <c r="G79" s="185">
        <f>ROUND(E79*F79,2)</f>
        <v>0</v>
      </c>
      <c r="H79" s="184">
        <v>0</v>
      </c>
      <c r="I79" s="185">
        <f>ROUND(E79*H79,2)</f>
        <v>0</v>
      </c>
      <c r="J79" s="184">
        <v>8.1999999999999993</v>
      </c>
      <c r="K79" s="185">
        <f>ROUND(E79*J79,2)</f>
        <v>971.43</v>
      </c>
      <c r="L79" s="185">
        <v>21</v>
      </c>
      <c r="M79" s="185">
        <f>G79*(1+L79/100)</f>
        <v>0</v>
      </c>
      <c r="N79" s="183">
        <v>0</v>
      </c>
      <c r="O79" s="183">
        <f>ROUND(E79*N79,2)</f>
        <v>0</v>
      </c>
      <c r="P79" s="183">
        <v>0</v>
      </c>
      <c r="Q79" s="183">
        <f>ROUND(E79*P79,2)</f>
        <v>0</v>
      </c>
      <c r="R79" s="185"/>
      <c r="S79" s="185" t="s">
        <v>118</v>
      </c>
      <c r="T79" s="186" t="s">
        <v>118</v>
      </c>
      <c r="U79" s="156">
        <v>0</v>
      </c>
      <c r="V79" s="156">
        <f>ROUND(E79*U79,2)</f>
        <v>0</v>
      </c>
      <c r="W79" s="156"/>
      <c r="X79" s="156" t="s">
        <v>139</v>
      </c>
      <c r="Y79" s="156" t="s">
        <v>120</v>
      </c>
      <c r="Z79" s="146"/>
      <c r="AA79" s="146"/>
      <c r="AB79" s="146"/>
      <c r="AC79" s="146"/>
      <c r="AD79" s="146"/>
      <c r="AE79" s="146"/>
      <c r="AF79" s="146"/>
      <c r="AG79" s="146" t="s">
        <v>140</v>
      </c>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row>
    <row r="80" spans="1:60" outlineLevel="1" x14ac:dyDescent="0.2">
      <c r="A80" s="165">
        <v>36</v>
      </c>
      <c r="B80" s="166" t="s">
        <v>246</v>
      </c>
      <c r="C80" s="174" t="s">
        <v>247</v>
      </c>
      <c r="D80" s="167" t="s">
        <v>138</v>
      </c>
      <c r="E80" s="168">
        <v>5.6349999999999998</v>
      </c>
      <c r="F80" s="169"/>
      <c r="G80" s="170">
        <f>ROUND(E80*F80,2)</f>
        <v>0</v>
      </c>
      <c r="H80" s="169">
        <v>750</v>
      </c>
      <c r="I80" s="170">
        <f>ROUND(E80*H80,2)</f>
        <v>4226.25</v>
      </c>
      <c r="J80" s="169">
        <v>0</v>
      </c>
      <c r="K80" s="170">
        <f>ROUND(E80*J80,2)</f>
        <v>0</v>
      </c>
      <c r="L80" s="170">
        <v>21</v>
      </c>
      <c r="M80" s="170">
        <f>G80*(1+L80/100)</f>
        <v>0</v>
      </c>
      <c r="N80" s="168">
        <v>1.6799999999999999E-2</v>
      </c>
      <c r="O80" s="168">
        <f>ROUND(E80*N80,2)</f>
        <v>0.09</v>
      </c>
      <c r="P80" s="168">
        <v>0</v>
      </c>
      <c r="Q80" s="168">
        <f>ROUND(E80*P80,2)</f>
        <v>0</v>
      </c>
      <c r="R80" s="170" t="s">
        <v>248</v>
      </c>
      <c r="S80" s="170" t="s">
        <v>118</v>
      </c>
      <c r="T80" s="171" t="s">
        <v>119</v>
      </c>
      <c r="U80" s="156">
        <v>0</v>
      </c>
      <c r="V80" s="156">
        <f>ROUND(E80*U80,2)</f>
        <v>0</v>
      </c>
      <c r="W80" s="156"/>
      <c r="X80" s="156" t="s">
        <v>163</v>
      </c>
      <c r="Y80" s="156" t="s">
        <v>120</v>
      </c>
      <c r="Z80" s="146"/>
      <c r="AA80" s="146"/>
      <c r="AB80" s="146"/>
      <c r="AC80" s="146"/>
      <c r="AD80" s="146"/>
      <c r="AE80" s="146"/>
      <c r="AF80" s="146"/>
      <c r="AG80" s="146" t="s">
        <v>164</v>
      </c>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row>
    <row r="81" spans="1:60" outlineLevel="2" x14ac:dyDescent="0.2">
      <c r="A81" s="153"/>
      <c r="B81" s="154"/>
      <c r="C81" s="187" t="s">
        <v>249</v>
      </c>
      <c r="D81" s="178"/>
      <c r="E81" s="179">
        <v>5.6349999999999998</v>
      </c>
      <c r="F81" s="156"/>
      <c r="G81" s="156"/>
      <c r="H81" s="156"/>
      <c r="I81" s="156"/>
      <c r="J81" s="156"/>
      <c r="K81" s="156"/>
      <c r="L81" s="156"/>
      <c r="M81" s="156"/>
      <c r="N81" s="155"/>
      <c r="O81" s="155"/>
      <c r="P81" s="155"/>
      <c r="Q81" s="155"/>
      <c r="R81" s="156"/>
      <c r="S81" s="156"/>
      <c r="T81" s="156"/>
      <c r="U81" s="156"/>
      <c r="V81" s="156"/>
      <c r="W81" s="156"/>
      <c r="X81" s="156"/>
      <c r="Y81" s="156"/>
      <c r="Z81" s="146"/>
      <c r="AA81" s="146"/>
      <c r="AB81" s="146"/>
      <c r="AC81" s="146"/>
      <c r="AD81" s="146"/>
      <c r="AE81" s="146"/>
      <c r="AF81" s="146"/>
      <c r="AG81" s="146" t="s">
        <v>142</v>
      </c>
      <c r="AH81" s="146">
        <v>0</v>
      </c>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row>
    <row r="82" spans="1:60" x14ac:dyDescent="0.2">
      <c r="A82" s="158" t="s">
        <v>115</v>
      </c>
      <c r="B82" s="159" t="s">
        <v>82</v>
      </c>
      <c r="C82" s="173" t="s">
        <v>83</v>
      </c>
      <c r="D82" s="160"/>
      <c r="E82" s="161"/>
      <c r="F82" s="162"/>
      <c r="G82" s="162">
        <f>SUM(G83,G88)</f>
        <v>0</v>
      </c>
      <c r="H82" s="162"/>
      <c r="I82" s="162">
        <f>SUM(I83:I83)</f>
        <v>241.23</v>
      </c>
      <c r="J82" s="162"/>
      <c r="K82" s="162">
        <f>SUM(K83:K83)</f>
        <v>787.31</v>
      </c>
      <c r="L82" s="162"/>
      <c r="M82" s="162">
        <f>SUM(M83:M83)</f>
        <v>0</v>
      </c>
      <c r="N82" s="161"/>
      <c r="O82" s="161">
        <f>SUM(O83:O83)</f>
        <v>0.01</v>
      </c>
      <c r="P82" s="161"/>
      <c r="Q82" s="161">
        <f>SUM(Q83:Q83)</f>
        <v>0</v>
      </c>
      <c r="R82" s="162"/>
      <c r="S82" s="162"/>
      <c r="T82" s="163"/>
      <c r="U82" s="157"/>
      <c r="V82" s="157">
        <f>SUM(V83:V83)</f>
        <v>1.1000000000000001</v>
      </c>
      <c r="W82" s="157"/>
      <c r="X82" s="157"/>
      <c r="Y82" s="157"/>
      <c r="AG82" t="s">
        <v>116</v>
      </c>
    </row>
    <row r="83" spans="1:60" outlineLevel="1" x14ac:dyDescent="0.2">
      <c r="A83" s="180">
        <v>38</v>
      </c>
      <c r="B83" s="181" t="s">
        <v>252</v>
      </c>
      <c r="C83" s="188" t="s">
        <v>576</v>
      </c>
      <c r="D83" s="182" t="s">
        <v>138</v>
      </c>
      <c r="E83" s="183">
        <v>33.8337</v>
      </c>
      <c r="F83" s="184"/>
      <c r="G83" s="185">
        <f>ROUND(E83*F83,2)</f>
        <v>0</v>
      </c>
      <c r="H83" s="184">
        <v>7.13</v>
      </c>
      <c r="I83" s="185">
        <f>ROUND(E83*H83,2)</f>
        <v>241.23</v>
      </c>
      <c r="J83" s="184">
        <v>23.27</v>
      </c>
      <c r="K83" s="185">
        <f>ROUND(E83*J83,2)</f>
        <v>787.31</v>
      </c>
      <c r="L83" s="185">
        <v>21</v>
      </c>
      <c r="M83" s="185">
        <f>G83*(1+L83/100)</f>
        <v>0</v>
      </c>
      <c r="N83" s="183">
        <v>1.7000000000000001E-4</v>
      </c>
      <c r="O83" s="183">
        <f>ROUND(E83*N83,2)</f>
        <v>0.01</v>
      </c>
      <c r="P83" s="183">
        <v>0</v>
      </c>
      <c r="Q83" s="183">
        <f>ROUND(E83*P83,2)</f>
        <v>0</v>
      </c>
      <c r="R83" s="185"/>
      <c r="S83" s="185" t="s">
        <v>118</v>
      </c>
      <c r="T83" s="186" t="s">
        <v>118</v>
      </c>
      <c r="U83" s="156">
        <v>3.2480000000000002E-2</v>
      </c>
      <c r="V83" s="156">
        <f>ROUND(E83*U83,2)</f>
        <v>1.1000000000000001</v>
      </c>
      <c r="W83" s="156"/>
      <c r="X83" s="156" t="s">
        <v>139</v>
      </c>
      <c r="Y83" s="156" t="s">
        <v>120</v>
      </c>
      <c r="Z83" s="146"/>
      <c r="AA83" s="146"/>
      <c r="AB83" s="146"/>
      <c r="AC83" s="146"/>
      <c r="AD83" s="146"/>
      <c r="AE83" s="146"/>
      <c r="AF83" s="146"/>
      <c r="AG83" s="146" t="s">
        <v>140</v>
      </c>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row>
    <row r="84" spans="1:60" outlineLevel="1" x14ac:dyDescent="0.2">
      <c r="A84" s="153"/>
      <c r="B84" s="154"/>
      <c r="C84" s="187" t="s">
        <v>250</v>
      </c>
      <c r="D84" s="178"/>
      <c r="E84" s="179">
        <v>11.112</v>
      </c>
      <c r="F84" s="156"/>
      <c r="G84" s="156"/>
      <c r="H84" s="156"/>
      <c r="I84" s="156"/>
      <c r="J84" s="156"/>
      <c r="K84" s="156"/>
      <c r="L84" s="156"/>
      <c r="M84" s="156"/>
      <c r="N84" s="155"/>
      <c r="O84" s="155"/>
      <c r="P84" s="155"/>
      <c r="Q84" s="155"/>
      <c r="R84" s="156"/>
      <c r="S84" s="156"/>
      <c r="T84" s="156"/>
      <c r="U84" s="156"/>
      <c r="V84" s="156"/>
      <c r="W84" s="156"/>
      <c r="X84" s="156"/>
      <c r="Y84" s="15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row>
    <row r="85" spans="1:60" outlineLevel="1" x14ac:dyDescent="0.2">
      <c r="A85" s="153"/>
      <c r="B85" s="154"/>
      <c r="C85" s="187" t="s">
        <v>146</v>
      </c>
      <c r="D85" s="178"/>
      <c r="E85" s="179">
        <v>-1.89</v>
      </c>
      <c r="F85" s="156"/>
      <c r="G85" s="156"/>
      <c r="H85" s="156"/>
      <c r="I85" s="156"/>
      <c r="J85" s="156"/>
      <c r="K85" s="156"/>
      <c r="L85" s="156"/>
      <c r="M85" s="156"/>
      <c r="N85" s="155"/>
      <c r="O85" s="155"/>
      <c r="P85" s="155"/>
      <c r="Q85" s="155"/>
      <c r="R85" s="156"/>
      <c r="S85" s="156"/>
      <c r="T85" s="156"/>
      <c r="U85" s="156"/>
      <c r="V85" s="156"/>
      <c r="W85" s="156"/>
      <c r="X85" s="156"/>
      <c r="Y85" s="15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row>
    <row r="86" spans="1:60" outlineLevel="1" x14ac:dyDescent="0.2">
      <c r="A86" s="153"/>
      <c r="B86" s="154"/>
      <c r="C86" s="187" t="s">
        <v>251</v>
      </c>
      <c r="D86" s="178"/>
      <c r="E86" s="179">
        <v>27.071999999999999</v>
      </c>
      <c r="F86" s="156"/>
      <c r="G86" s="156"/>
      <c r="H86" s="156"/>
      <c r="I86" s="156"/>
      <c r="J86" s="156"/>
      <c r="K86" s="156"/>
      <c r="L86" s="156"/>
      <c r="M86" s="156"/>
      <c r="N86" s="155"/>
      <c r="O86" s="155"/>
      <c r="P86" s="155"/>
      <c r="Q86" s="155"/>
      <c r="R86" s="156"/>
      <c r="S86" s="156"/>
      <c r="T86" s="156"/>
      <c r="U86" s="156"/>
      <c r="V86" s="156"/>
      <c r="W86" s="156"/>
      <c r="X86" s="156"/>
      <c r="Y86" s="15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row>
    <row r="87" spans="1:60" outlineLevel="1" x14ac:dyDescent="0.2">
      <c r="A87" s="153"/>
      <c r="B87" s="154"/>
      <c r="C87" s="187" t="s">
        <v>148</v>
      </c>
      <c r="D87" s="178"/>
      <c r="E87" s="179">
        <v>-2.4603000000000002</v>
      </c>
      <c r="F87" s="156"/>
      <c r="G87" s="156"/>
      <c r="H87" s="156"/>
      <c r="I87" s="156"/>
      <c r="J87" s="156"/>
      <c r="K87" s="156"/>
      <c r="L87" s="156"/>
      <c r="M87" s="156"/>
      <c r="N87" s="155"/>
      <c r="O87" s="155"/>
      <c r="P87" s="155"/>
      <c r="Q87" s="155"/>
      <c r="R87" s="156"/>
      <c r="S87" s="156"/>
      <c r="T87" s="156"/>
      <c r="U87" s="156"/>
      <c r="V87" s="156"/>
      <c r="W87" s="156"/>
      <c r="X87" s="156"/>
      <c r="Y87" s="15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row>
    <row r="88" spans="1:60" outlineLevel="1" x14ac:dyDescent="0.2">
      <c r="A88" s="165">
        <v>37</v>
      </c>
      <c r="B88" s="166" t="s">
        <v>574</v>
      </c>
      <c r="C88" s="174" t="s">
        <v>575</v>
      </c>
      <c r="D88" s="167" t="s">
        <v>138</v>
      </c>
      <c r="E88" s="168">
        <v>33.8337</v>
      </c>
      <c r="F88" s="169"/>
      <c r="G88" s="170">
        <f>ROUND(E88*F88,2)</f>
        <v>0</v>
      </c>
      <c r="H88" s="169">
        <v>291.36</v>
      </c>
      <c r="I88" s="170">
        <f>ROUND(E88*H88,2)</f>
        <v>9857.7900000000009</v>
      </c>
      <c r="J88" s="169">
        <v>274.64</v>
      </c>
      <c r="K88" s="170">
        <f>ROUND(E88*J88,2)</f>
        <v>9292.09</v>
      </c>
      <c r="L88" s="170">
        <v>21</v>
      </c>
      <c r="M88" s="170">
        <f>G88*(1+L88/100)</f>
        <v>0</v>
      </c>
      <c r="N88" s="168">
        <v>1.2199999999999999E-3</v>
      </c>
      <c r="O88" s="168">
        <f>ROUND(E88*N88,2)</f>
        <v>0.04</v>
      </c>
      <c r="P88" s="168">
        <v>0</v>
      </c>
      <c r="Q88" s="168">
        <f>ROUND(E88*P88,2)</f>
        <v>0</v>
      </c>
      <c r="R88" s="170"/>
      <c r="S88" s="170" t="s">
        <v>118</v>
      </c>
      <c r="T88" s="305"/>
      <c r="U88" s="156"/>
      <c r="V88" s="156"/>
      <c r="W88" s="156"/>
      <c r="X88" s="156"/>
      <c r="Y88" s="15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row>
    <row r="89" spans="1:60" outlineLevel="1" x14ac:dyDescent="0.2">
      <c r="A89" s="298"/>
      <c r="B89" s="299"/>
      <c r="C89" s="300"/>
      <c r="D89" s="301"/>
      <c r="E89" s="302"/>
      <c r="F89" s="303"/>
      <c r="G89" s="304"/>
      <c r="H89" s="303"/>
      <c r="I89" s="304"/>
      <c r="J89" s="303"/>
      <c r="K89" s="304"/>
      <c r="L89" s="304"/>
      <c r="M89" s="304"/>
      <c r="N89" s="302"/>
      <c r="O89" s="302"/>
      <c r="P89" s="302"/>
      <c r="Q89" s="302"/>
      <c r="R89" s="304"/>
      <c r="S89" s="304"/>
      <c r="T89" s="305"/>
      <c r="U89" s="156"/>
      <c r="V89" s="156"/>
      <c r="W89" s="156"/>
      <c r="X89" s="156"/>
      <c r="Y89" s="15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row>
    <row r="90" spans="1:60" x14ac:dyDescent="0.2">
      <c r="A90" s="158" t="s">
        <v>115</v>
      </c>
      <c r="B90" s="159" t="s">
        <v>84</v>
      </c>
      <c r="C90" s="173" t="s">
        <v>85</v>
      </c>
      <c r="D90" s="160"/>
      <c r="E90" s="161"/>
      <c r="F90" s="162"/>
      <c r="G90" s="162">
        <f>SUMIF(AG91:AG101,"&lt;&gt;NOR",G91:G101)</f>
        <v>0</v>
      </c>
      <c r="H90" s="162"/>
      <c r="I90" s="162">
        <f>SUM(I91:I101)</f>
        <v>0</v>
      </c>
      <c r="J90" s="162"/>
      <c r="K90" s="162">
        <f>SUM(K91:K101)</f>
        <v>1598.6399999999999</v>
      </c>
      <c r="L90" s="162"/>
      <c r="M90" s="162">
        <f>SUM(M91:M101)</f>
        <v>0</v>
      </c>
      <c r="N90" s="161"/>
      <c r="O90" s="161">
        <f>SUM(O91:O101)</f>
        <v>0</v>
      </c>
      <c r="P90" s="161"/>
      <c r="Q90" s="161">
        <f>SUM(Q91:Q101)</f>
        <v>0</v>
      </c>
      <c r="R90" s="162"/>
      <c r="S90" s="162"/>
      <c r="T90" s="163"/>
      <c r="U90" s="157"/>
      <c r="V90" s="157">
        <f>SUM(V91:V101)</f>
        <v>1.37</v>
      </c>
      <c r="W90" s="157"/>
      <c r="X90" s="157"/>
      <c r="Y90" s="157"/>
      <c r="AG90" t="s">
        <v>116</v>
      </c>
    </row>
    <row r="91" spans="1:60" outlineLevel="1" x14ac:dyDescent="0.2">
      <c r="A91" s="165">
        <v>39</v>
      </c>
      <c r="B91" s="166" t="s">
        <v>253</v>
      </c>
      <c r="C91" s="174" t="s">
        <v>254</v>
      </c>
      <c r="D91" s="167" t="s">
        <v>200</v>
      </c>
      <c r="E91" s="168">
        <v>0.54806999999999995</v>
      </c>
      <c r="F91" s="169"/>
      <c r="G91" s="170">
        <f>ROUND(E91*F91,2)</f>
        <v>0</v>
      </c>
      <c r="H91" s="169">
        <v>0</v>
      </c>
      <c r="I91" s="170">
        <f>ROUND(E91*H91,2)</f>
        <v>0</v>
      </c>
      <c r="J91" s="169">
        <v>336.5</v>
      </c>
      <c r="K91" s="170">
        <f>ROUND(E91*J91,2)</f>
        <v>184.43</v>
      </c>
      <c r="L91" s="170">
        <v>21</v>
      </c>
      <c r="M91" s="170">
        <f>G91*(1+L91/100)</f>
        <v>0</v>
      </c>
      <c r="N91" s="168">
        <v>0</v>
      </c>
      <c r="O91" s="168">
        <f>ROUND(E91*N91,2)</f>
        <v>0</v>
      </c>
      <c r="P91" s="168">
        <v>0</v>
      </c>
      <c r="Q91" s="168">
        <f>ROUND(E91*P91,2)</f>
        <v>0</v>
      </c>
      <c r="R91" s="170"/>
      <c r="S91" s="170" t="s">
        <v>118</v>
      </c>
      <c r="T91" s="171" t="s">
        <v>118</v>
      </c>
      <c r="U91" s="156">
        <v>0.49</v>
      </c>
      <c r="V91" s="156">
        <f>ROUND(E91*U91,2)</f>
        <v>0.27</v>
      </c>
      <c r="W91" s="156"/>
      <c r="X91" s="156" t="s">
        <v>139</v>
      </c>
      <c r="Y91" s="156" t="s">
        <v>120</v>
      </c>
      <c r="Z91" s="146"/>
      <c r="AA91" s="146"/>
      <c r="AB91" s="146"/>
      <c r="AC91" s="146"/>
      <c r="AD91" s="146"/>
      <c r="AE91" s="146"/>
      <c r="AF91" s="146"/>
      <c r="AG91" s="146" t="s">
        <v>140</v>
      </c>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row>
    <row r="92" spans="1:60" outlineLevel="2" x14ac:dyDescent="0.2">
      <c r="A92" s="153"/>
      <c r="B92" s="154"/>
      <c r="C92" s="375" t="s">
        <v>255</v>
      </c>
      <c r="D92" s="376"/>
      <c r="E92" s="376"/>
      <c r="F92" s="376"/>
      <c r="G92" s="376"/>
      <c r="H92" s="156"/>
      <c r="I92" s="156"/>
      <c r="J92" s="156"/>
      <c r="K92" s="156"/>
      <c r="L92" s="156"/>
      <c r="M92" s="156"/>
      <c r="N92" s="155"/>
      <c r="O92" s="155"/>
      <c r="P92" s="155"/>
      <c r="Q92" s="155"/>
      <c r="R92" s="156"/>
      <c r="S92" s="156"/>
      <c r="T92" s="156"/>
      <c r="U92" s="156"/>
      <c r="V92" s="156"/>
      <c r="W92" s="156"/>
      <c r="X92" s="156"/>
      <c r="Y92" s="156"/>
      <c r="Z92" s="146"/>
      <c r="AA92" s="146"/>
      <c r="AB92" s="146"/>
      <c r="AC92" s="146"/>
      <c r="AD92" s="146"/>
      <c r="AE92" s="146"/>
      <c r="AF92" s="146"/>
      <c r="AG92" s="146" t="s">
        <v>122</v>
      </c>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row>
    <row r="93" spans="1:60" outlineLevel="2" x14ac:dyDescent="0.2">
      <c r="A93" s="153"/>
      <c r="B93" s="154"/>
      <c r="C93" s="187" t="s">
        <v>256</v>
      </c>
      <c r="D93" s="178"/>
      <c r="E93" s="179">
        <v>0.54806999999999995</v>
      </c>
      <c r="F93" s="156"/>
      <c r="G93" s="156"/>
      <c r="H93" s="156"/>
      <c r="I93" s="156"/>
      <c r="J93" s="156"/>
      <c r="K93" s="156"/>
      <c r="L93" s="156"/>
      <c r="M93" s="156"/>
      <c r="N93" s="155"/>
      <c r="O93" s="155"/>
      <c r="P93" s="155"/>
      <c r="Q93" s="155"/>
      <c r="R93" s="156"/>
      <c r="S93" s="156"/>
      <c r="T93" s="156"/>
      <c r="U93" s="156"/>
      <c r="V93" s="156"/>
      <c r="W93" s="156"/>
      <c r="X93" s="156"/>
      <c r="Y93" s="156"/>
      <c r="Z93" s="146"/>
      <c r="AA93" s="146"/>
      <c r="AB93" s="146"/>
      <c r="AC93" s="146"/>
      <c r="AD93" s="146"/>
      <c r="AE93" s="146"/>
      <c r="AF93" s="146"/>
      <c r="AG93" s="146" t="s">
        <v>142</v>
      </c>
      <c r="AH93" s="146">
        <v>0</v>
      </c>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row>
    <row r="94" spans="1:60" outlineLevel="1" x14ac:dyDescent="0.2">
      <c r="A94" s="180">
        <v>40</v>
      </c>
      <c r="B94" s="181" t="s">
        <v>257</v>
      </c>
      <c r="C94" s="188" t="s">
        <v>258</v>
      </c>
      <c r="D94" s="182" t="s">
        <v>200</v>
      </c>
      <c r="E94" s="183">
        <v>5.4806999999999997</v>
      </c>
      <c r="F94" s="184"/>
      <c r="G94" s="185">
        <f>ROUND(E94*F94,2)</f>
        <v>0</v>
      </c>
      <c r="H94" s="184">
        <v>0</v>
      </c>
      <c r="I94" s="185">
        <f>ROUND(E94*H94,2)</f>
        <v>0</v>
      </c>
      <c r="J94" s="184">
        <v>28.2</v>
      </c>
      <c r="K94" s="185">
        <f>ROUND(E94*J94,2)</f>
        <v>154.56</v>
      </c>
      <c r="L94" s="185">
        <v>21</v>
      </c>
      <c r="M94" s="185">
        <f>G94*(1+L94/100)</f>
        <v>0</v>
      </c>
      <c r="N94" s="183">
        <v>0</v>
      </c>
      <c r="O94" s="183">
        <f>ROUND(E94*N94,2)</f>
        <v>0</v>
      </c>
      <c r="P94" s="183">
        <v>0</v>
      </c>
      <c r="Q94" s="183">
        <f>ROUND(E94*P94,2)</f>
        <v>0</v>
      </c>
      <c r="R94" s="185"/>
      <c r="S94" s="185" t="s">
        <v>118</v>
      </c>
      <c r="T94" s="186" t="s">
        <v>118</v>
      </c>
      <c r="U94" s="156">
        <v>0</v>
      </c>
      <c r="V94" s="156">
        <f>ROUND(E94*U94,2)</f>
        <v>0</v>
      </c>
      <c r="W94" s="156"/>
      <c r="X94" s="156" t="s">
        <v>139</v>
      </c>
      <c r="Y94" s="156" t="s">
        <v>120</v>
      </c>
      <c r="Z94" s="146"/>
      <c r="AA94" s="146"/>
      <c r="AB94" s="146"/>
      <c r="AC94" s="146"/>
      <c r="AD94" s="146"/>
      <c r="AE94" s="146"/>
      <c r="AF94" s="146"/>
      <c r="AG94" s="146" t="s">
        <v>140</v>
      </c>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row>
    <row r="95" spans="1:60" outlineLevel="1" x14ac:dyDescent="0.2">
      <c r="A95" s="180">
        <v>41</v>
      </c>
      <c r="B95" s="181" t="s">
        <v>259</v>
      </c>
      <c r="C95" s="188" t="s">
        <v>260</v>
      </c>
      <c r="D95" s="182" t="s">
        <v>200</v>
      </c>
      <c r="E95" s="183">
        <v>0.54806999999999995</v>
      </c>
      <c r="F95" s="184"/>
      <c r="G95" s="185">
        <f>ROUND(E95*F95,2)</f>
        <v>0</v>
      </c>
      <c r="H95" s="184">
        <v>0</v>
      </c>
      <c r="I95" s="185">
        <f>ROUND(E95*H95,2)</f>
        <v>0</v>
      </c>
      <c r="J95" s="184">
        <v>490</v>
      </c>
      <c r="K95" s="185">
        <f>ROUND(E95*J95,2)</f>
        <v>268.55</v>
      </c>
      <c r="L95" s="185">
        <v>21</v>
      </c>
      <c r="M95" s="185">
        <f>G95*(1+L95/100)</f>
        <v>0</v>
      </c>
      <c r="N95" s="183">
        <v>0</v>
      </c>
      <c r="O95" s="183">
        <f>ROUND(E95*N95,2)</f>
        <v>0</v>
      </c>
      <c r="P95" s="183">
        <v>0</v>
      </c>
      <c r="Q95" s="183">
        <f>ROUND(E95*P95,2)</f>
        <v>0</v>
      </c>
      <c r="R95" s="185"/>
      <c r="S95" s="185" t="s">
        <v>118</v>
      </c>
      <c r="T95" s="186" t="s">
        <v>118</v>
      </c>
      <c r="U95" s="156">
        <v>0.94199999999999995</v>
      </c>
      <c r="V95" s="156">
        <f>ROUND(E95*U95,2)</f>
        <v>0.52</v>
      </c>
      <c r="W95" s="156"/>
      <c r="X95" s="156" t="s">
        <v>139</v>
      </c>
      <c r="Y95" s="156" t="s">
        <v>120</v>
      </c>
      <c r="Z95" s="146"/>
      <c r="AA95" s="146"/>
      <c r="AB95" s="146"/>
      <c r="AC95" s="146"/>
      <c r="AD95" s="146"/>
      <c r="AE95" s="146"/>
      <c r="AF95" s="146"/>
      <c r="AG95" s="146" t="s">
        <v>140</v>
      </c>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row>
    <row r="96" spans="1:60" outlineLevel="1" x14ac:dyDescent="0.2">
      <c r="A96" s="180">
        <v>42</v>
      </c>
      <c r="B96" s="181" t="s">
        <v>261</v>
      </c>
      <c r="C96" s="188" t="s">
        <v>262</v>
      </c>
      <c r="D96" s="182" t="s">
        <v>200</v>
      </c>
      <c r="E96" s="183">
        <v>5.4806999999999997</v>
      </c>
      <c r="F96" s="184"/>
      <c r="G96" s="185">
        <f>ROUND(E96*F96,2)</f>
        <v>0</v>
      </c>
      <c r="H96" s="184">
        <v>0</v>
      </c>
      <c r="I96" s="185">
        <f>ROUND(E96*H96,2)</f>
        <v>0</v>
      </c>
      <c r="J96" s="184">
        <v>54.7</v>
      </c>
      <c r="K96" s="185">
        <f>ROUND(E96*J96,2)</f>
        <v>299.79000000000002</v>
      </c>
      <c r="L96" s="185">
        <v>21</v>
      </c>
      <c r="M96" s="185">
        <f>G96*(1+L96/100)</f>
        <v>0</v>
      </c>
      <c r="N96" s="183">
        <v>0</v>
      </c>
      <c r="O96" s="183">
        <f>ROUND(E96*N96,2)</f>
        <v>0</v>
      </c>
      <c r="P96" s="183">
        <v>0</v>
      </c>
      <c r="Q96" s="183">
        <f>ROUND(E96*P96,2)</f>
        <v>0</v>
      </c>
      <c r="R96" s="185"/>
      <c r="S96" s="185" t="s">
        <v>118</v>
      </c>
      <c r="T96" s="186" t="s">
        <v>118</v>
      </c>
      <c r="U96" s="156">
        <v>0.105</v>
      </c>
      <c r="V96" s="156">
        <f>ROUND(E96*U96,2)</f>
        <v>0.57999999999999996</v>
      </c>
      <c r="W96" s="156"/>
      <c r="X96" s="156" t="s">
        <v>139</v>
      </c>
      <c r="Y96" s="156" t="s">
        <v>120</v>
      </c>
      <c r="Z96" s="146"/>
      <c r="AA96" s="146"/>
      <c r="AB96" s="146"/>
      <c r="AC96" s="146"/>
      <c r="AD96" s="146"/>
      <c r="AE96" s="146"/>
      <c r="AF96" s="146"/>
      <c r="AG96" s="146" t="s">
        <v>140</v>
      </c>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row>
    <row r="97" spans="1:60" outlineLevel="1" x14ac:dyDescent="0.2">
      <c r="A97" s="165">
        <v>43</v>
      </c>
      <c r="B97" s="166" t="s">
        <v>263</v>
      </c>
      <c r="C97" s="174" t="s">
        <v>264</v>
      </c>
      <c r="D97" s="167" t="s">
        <v>200</v>
      </c>
      <c r="E97" s="168">
        <v>0.28638000000000002</v>
      </c>
      <c r="F97" s="169"/>
      <c r="G97" s="170">
        <f>ROUND(E97*F97,2)</f>
        <v>0</v>
      </c>
      <c r="H97" s="169">
        <v>0</v>
      </c>
      <c r="I97" s="170">
        <f>ROUND(E97*H97,2)</f>
        <v>0</v>
      </c>
      <c r="J97" s="169">
        <v>1873</v>
      </c>
      <c r="K97" s="170">
        <f>ROUND(E97*J97,2)</f>
        <v>536.39</v>
      </c>
      <c r="L97" s="170">
        <v>21</v>
      </c>
      <c r="M97" s="170">
        <f>G97*(1+L97/100)</f>
        <v>0</v>
      </c>
      <c r="N97" s="168">
        <v>0</v>
      </c>
      <c r="O97" s="168">
        <f>ROUND(E97*N97,2)</f>
        <v>0</v>
      </c>
      <c r="P97" s="168">
        <v>0</v>
      </c>
      <c r="Q97" s="168">
        <f>ROUND(E97*P97,2)</f>
        <v>0</v>
      </c>
      <c r="R97" s="170"/>
      <c r="S97" s="170" t="s">
        <v>118</v>
      </c>
      <c r="T97" s="171" t="s">
        <v>118</v>
      </c>
      <c r="U97" s="156">
        <v>0</v>
      </c>
      <c r="V97" s="156">
        <f>ROUND(E97*U97,2)</f>
        <v>0</v>
      </c>
      <c r="W97" s="156"/>
      <c r="X97" s="156" t="s">
        <v>139</v>
      </c>
      <c r="Y97" s="156" t="s">
        <v>120</v>
      </c>
      <c r="Z97" s="146"/>
      <c r="AA97" s="146"/>
      <c r="AB97" s="146"/>
      <c r="AC97" s="146"/>
      <c r="AD97" s="146"/>
      <c r="AE97" s="146"/>
      <c r="AF97" s="146"/>
      <c r="AG97" s="146" t="s">
        <v>140</v>
      </c>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row>
    <row r="98" spans="1:60" outlineLevel="2" x14ac:dyDescent="0.2">
      <c r="A98" s="153"/>
      <c r="B98" s="154"/>
      <c r="C98" s="375" t="s">
        <v>265</v>
      </c>
      <c r="D98" s="376"/>
      <c r="E98" s="376"/>
      <c r="F98" s="376"/>
      <c r="G98" s="376"/>
      <c r="H98" s="156"/>
      <c r="I98" s="156"/>
      <c r="J98" s="156"/>
      <c r="K98" s="156"/>
      <c r="L98" s="156"/>
      <c r="M98" s="156"/>
      <c r="N98" s="155"/>
      <c r="O98" s="155"/>
      <c r="P98" s="155"/>
      <c r="Q98" s="155"/>
      <c r="R98" s="156"/>
      <c r="S98" s="156"/>
      <c r="T98" s="156"/>
      <c r="U98" s="156"/>
      <c r="V98" s="156"/>
      <c r="W98" s="156"/>
      <c r="X98" s="156"/>
      <c r="Y98" s="156"/>
      <c r="Z98" s="146"/>
      <c r="AA98" s="146"/>
      <c r="AB98" s="146"/>
      <c r="AC98" s="146"/>
      <c r="AD98" s="146"/>
      <c r="AE98" s="146"/>
      <c r="AF98" s="146"/>
      <c r="AG98" s="146" t="s">
        <v>122</v>
      </c>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row>
    <row r="99" spans="1:60" outlineLevel="2" x14ac:dyDescent="0.2">
      <c r="A99" s="153"/>
      <c r="B99" s="154"/>
      <c r="C99" s="187" t="s">
        <v>266</v>
      </c>
      <c r="D99" s="178"/>
      <c r="E99" s="179">
        <v>0.28638000000000002</v>
      </c>
      <c r="F99" s="156"/>
      <c r="G99" s="156"/>
      <c r="H99" s="156"/>
      <c r="I99" s="156"/>
      <c r="J99" s="156"/>
      <c r="K99" s="156"/>
      <c r="L99" s="156"/>
      <c r="M99" s="156"/>
      <c r="N99" s="155"/>
      <c r="O99" s="155"/>
      <c r="P99" s="155"/>
      <c r="Q99" s="155"/>
      <c r="R99" s="156"/>
      <c r="S99" s="156"/>
      <c r="T99" s="156"/>
      <c r="U99" s="156"/>
      <c r="V99" s="156"/>
      <c r="W99" s="156"/>
      <c r="X99" s="156"/>
      <c r="Y99" s="156"/>
      <c r="Z99" s="146"/>
      <c r="AA99" s="146"/>
      <c r="AB99" s="146"/>
      <c r="AC99" s="146"/>
      <c r="AD99" s="146"/>
      <c r="AE99" s="146"/>
      <c r="AF99" s="146"/>
      <c r="AG99" s="146" t="s">
        <v>142</v>
      </c>
      <c r="AH99" s="146">
        <v>0</v>
      </c>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row>
    <row r="100" spans="1:60" ht="22.5" outlineLevel="1" x14ac:dyDescent="0.2">
      <c r="A100" s="165">
        <v>44</v>
      </c>
      <c r="B100" s="166" t="s">
        <v>267</v>
      </c>
      <c r="C100" s="174" t="s">
        <v>268</v>
      </c>
      <c r="D100" s="167" t="s">
        <v>200</v>
      </c>
      <c r="E100" s="168">
        <v>0.26168999999999998</v>
      </c>
      <c r="F100" s="169"/>
      <c r="G100" s="170">
        <f>ROUND(E100*F100,2)</f>
        <v>0</v>
      </c>
      <c r="H100" s="169">
        <v>0</v>
      </c>
      <c r="I100" s="170">
        <f>ROUND(E100*H100,2)</f>
        <v>0</v>
      </c>
      <c r="J100" s="169">
        <v>592</v>
      </c>
      <c r="K100" s="170">
        <f>ROUND(E100*J100,2)</f>
        <v>154.91999999999999</v>
      </c>
      <c r="L100" s="170">
        <v>21</v>
      </c>
      <c r="M100" s="170">
        <f>G100*(1+L100/100)</f>
        <v>0</v>
      </c>
      <c r="N100" s="168">
        <v>0</v>
      </c>
      <c r="O100" s="168">
        <f>ROUND(E100*N100,2)</f>
        <v>0</v>
      </c>
      <c r="P100" s="168">
        <v>0</v>
      </c>
      <c r="Q100" s="168">
        <f>ROUND(E100*P100,2)</f>
        <v>0</v>
      </c>
      <c r="R100" s="170"/>
      <c r="S100" s="170" t="s">
        <v>118</v>
      </c>
      <c r="T100" s="171" t="s">
        <v>118</v>
      </c>
      <c r="U100" s="156">
        <v>0</v>
      </c>
      <c r="V100" s="156">
        <f>ROUND(E100*U100,2)</f>
        <v>0</v>
      </c>
      <c r="W100" s="156"/>
      <c r="X100" s="156" t="s">
        <v>139</v>
      </c>
      <c r="Y100" s="156" t="s">
        <v>120</v>
      </c>
      <c r="Z100" s="146"/>
      <c r="AA100" s="146"/>
      <c r="AB100" s="146"/>
      <c r="AC100" s="146"/>
      <c r="AD100" s="146"/>
      <c r="AE100" s="146"/>
      <c r="AF100" s="146"/>
      <c r="AG100" s="146" t="s">
        <v>140</v>
      </c>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row>
    <row r="101" spans="1:60" outlineLevel="2" x14ac:dyDescent="0.2">
      <c r="A101" s="153"/>
      <c r="B101" s="154"/>
      <c r="C101" s="187" t="s">
        <v>269</v>
      </c>
      <c r="D101" s="178"/>
      <c r="E101" s="179">
        <v>0.26168999999999998</v>
      </c>
      <c r="F101" s="156"/>
      <c r="G101" s="156"/>
      <c r="H101" s="156"/>
      <c r="I101" s="156"/>
      <c r="J101" s="156"/>
      <c r="K101" s="156"/>
      <c r="L101" s="156"/>
      <c r="M101" s="156"/>
      <c r="N101" s="155"/>
      <c r="O101" s="155"/>
      <c r="P101" s="155"/>
      <c r="Q101" s="155"/>
      <c r="R101" s="156"/>
      <c r="S101" s="156"/>
      <c r="T101" s="156"/>
      <c r="U101" s="156"/>
      <c r="V101" s="156"/>
      <c r="W101" s="156"/>
      <c r="X101" s="156"/>
      <c r="Y101" s="156"/>
      <c r="Z101" s="146"/>
      <c r="AA101" s="146"/>
      <c r="AB101" s="146"/>
      <c r="AC101" s="146"/>
      <c r="AD101" s="146"/>
      <c r="AE101" s="146"/>
      <c r="AF101" s="146"/>
      <c r="AG101" s="146" t="s">
        <v>142</v>
      </c>
      <c r="AH101" s="146">
        <v>0</v>
      </c>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row>
    <row r="102" spans="1:60" x14ac:dyDescent="0.2">
      <c r="A102" s="3"/>
      <c r="B102" s="4"/>
      <c r="C102" s="175"/>
      <c r="D102" s="6"/>
      <c r="E102" s="3"/>
      <c r="F102" s="3"/>
      <c r="G102" s="3"/>
      <c r="H102" s="3"/>
      <c r="I102" s="3"/>
      <c r="J102" s="3"/>
      <c r="K102" s="3"/>
      <c r="L102" s="3"/>
      <c r="M102" s="3"/>
      <c r="N102" s="3"/>
      <c r="O102" s="3"/>
      <c r="P102" s="3"/>
      <c r="Q102" s="3"/>
      <c r="R102" s="3"/>
      <c r="S102" s="3"/>
      <c r="T102" s="3"/>
      <c r="U102" s="3"/>
      <c r="V102" s="3"/>
      <c r="W102" s="3"/>
      <c r="X102" s="3"/>
      <c r="Y102" s="3"/>
      <c r="AE102">
        <v>12</v>
      </c>
      <c r="AF102">
        <v>21</v>
      </c>
      <c r="AG102" t="s">
        <v>101</v>
      </c>
    </row>
    <row r="103" spans="1:60" x14ac:dyDescent="0.2">
      <c r="A103" s="149"/>
      <c r="B103" s="150" t="s">
        <v>31</v>
      </c>
      <c r="C103" s="176"/>
      <c r="D103" s="151"/>
      <c r="E103" s="152"/>
      <c r="F103" s="152"/>
      <c r="G103" s="164">
        <f>G8+G19+G22+G25+G28+G33+G48+G56+G68+G72+G82+G90</f>
        <v>0</v>
      </c>
      <c r="H103" s="3"/>
      <c r="I103" s="3"/>
      <c r="J103" s="3"/>
      <c r="K103" s="3"/>
      <c r="L103" s="3"/>
      <c r="M103" s="3"/>
      <c r="N103" s="3"/>
      <c r="O103" s="3"/>
      <c r="P103" s="3"/>
      <c r="Q103" s="3"/>
      <c r="R103" s="3"/>
      <c r="S103" s="3"/>
      <c r="T103" s="3"/>
      <c r="U103" s="3"/>
      <c r="V103" s="3"/>
      <c r="W103" s="3"/>
      <c r="X103" s="3"/>
      <c r="Y103" s="3"/>
      <c r="AE103">
        <f>SUMIF(L7:L101,AE102,G7:G101)</f>
        <v>0</v>
      </c>
      <c r="AF103">
        <f>SUMIF(L7:L101,AF102,G7:G101)</f>
        <v>0</v>
      </c>
      <c r="AG103" t="s">
        <v>132</v>
      </c>
    </row>
    <row r="104" spans="1:60" x14ac:dyDescent="0.2">
      <c r="A104" s="3"/>
      <c r="B104" s="4"/>
      <c r="C104" s="175"/>
      <c r="D104" s="6"/>
      <c r="E104" s="3"/>
      <c r="F104" s="3"/>
      <c r="G104" s="3"/>
      <c r="H104" s="3"/>
      <c r="I104" s="3"/>
      <c r="J104" s="3"/>
      <c r="K104" s="3"/>
      <c r="L104" s="3"/>
      <c r="M104" s="3"/>
      <c r="N104" s="3"/>
      <c r="O104" s="3"/>
      <c r="P104" s="3"/>
      <c r="Q104" s="3"/>
      <c r="R104" s="3"/>
      <c r="S104" s="3"/>
      <c r="T104" s="3"/>
      <c r="U104" s="3"/>
      <c r="V104" s="3"/>
      <c r="W104" s="3"/>
      <c r="X104" s="3"/>
      <c r="Y104" s="3"/>
    </row>
    <row r="105" spans="1:60" x14ac:dyDescent="0.2">
      <c r="A105" s="3"/>
      <c r="B105" s="4"/>
      <c r="C105" s="175"/>
      <c r="D105" s="6"/>
      <c r="E105" s="3"/>
      <c r="F105" s="3"/>
      <c r="G105" s="3"/>
      <c r="H105" s="3"/>
      <c r="I105" s="3"/>
      <c r="J105" s="3"/>
      <c r="K105" s="3"/>
      <c r="L105" s="3"/>
      <c r="M105" s="3"/>
      <c r="N105" s="3"/>
      <c r="O105" s="3"/>
      <c r="P105" s="3"/>
      <c r="Q105" s="3"/>
      <c r="R105" s="3"/>
      <c r="S105" s="3"/>
      <c r="T105" s="3"/>
      <c r="U105" s="3"/>
      <c r="V105" s="3"/>
      <c r="W105" s="3"/>
      <c r="X105" s="3"/>
      <c r="Y105" s="3"/>
    </row>
    <row r="106" spans="1:60" x14ac:dyDescent="0.2">
      <c r="A106" s="384" t="s">
        <v>133</v>
      </c>
      <c r="B106" s="384"/>
      <c r="C106" s="385"/>
      <c r="D106" s="6"/>
      <c r="E106" s="3"/>
      <c r="F106" s="3"/>
      <c r="G106" s="3"/>
      <c r="H106" s="3"/>
      <c r="I106" s="3"/>
      <c r="J106" s="3"/>
      <c r="K106" s="3"/>
      <c r="L106" s="3"/>
      <c r="M106" s="3"/>
      <c r="N106" s="3"/>
      <c r="O106" s="3"/>
      <c r="P106" s="3"/>
      <c r="Q106" s="3"/>
      <c r="R106" s="3"/>
      <c r="S106" s="3"/>
      <c r="T106" s="3"/>
      <c r="U106" s="3"/>
      <c r="V106" s="3"/>
      <c r="W106" s="3"/>
      <c r="X106" s="3"/>
      <c r="Y106" s="3"/>
    </row>
    <row r="107" spans="1:60" x14ac:dyDescent="0.2">
      <c r="A107" s="363"/>
      <c r="B107" s="364"/>
      <c r="C107" s="365"/>
      <c r="D107" s="364"/>
      <c r="E107" s="364"/>
      <c r="F107" s="364"/>
      <c r="G107" s="366"/>
      <c r="H107" s="3"/>
      <c r="I107" s="3"/>
      <c r="J107" s="3"/>
      <c r="K107" s="3"/>
      <c r="L107" s="3"/>
      <c r="M107" s="3"/>
      <c r="N107" s="3"/>
      <c r="O107" s="3"/>
      <c r="P107" s="3"/>
      <c r="Q107" s="3"/>
      <c r="R107" s="3"/>
      <c r="S107" s="3"/>
      <c r="T107" s="3"/>
      <c r="U107" s="3"/>
      <c r="V107" s="3"/>
      <c r="W107" s="3"/>
      <c r="X107" s="3"/>
      <c r="Y107" s="3"/>
      <c r="AG107" t="s">
        <v>134</v>
      </c>
    </row>
    <row r="108" spans="1:60" x14ac:dyDescent="0.2">
      <c r="A108" s="367"/>
      <c r="B108" s="368"/>
      <c r="C108" s="369"/>
      <c r="D108" s="368"/>
      <c r="E108" s="368"/>
      <c r="F108" s="368"/>
      <c r="G108" s="370"/>
      <c r="H108" s="3"/>
      <c r="I108" s="3"/>
      <c r="J108" s="3"/>
      <c r="K108" s="3"/>
      <c r="L108" s="3"/>
      <c r="M108" s="3"/>
      <c r="N108" s="3"/>
      <c r="O108" s="3"/>
      <c r="P108" s="3"/>
      <c r="Q108" s="3"/>
      <c r="R108" s="3"/>
      <c r="S108" s="3"/>
      <c r="T108" s="3"/>
      <c r="U108" s="3"/>
      <c r="V108" s="3"/>
      <c r="W108" s="3"/>
      <c r="X108" s="3"/>
      <c r="Y108" s="3"/>
    </row>
    <row r="109" spans="1:60" x14ac:dyDescent="0.2">
      <c r="A109" s="367"/>
      <c r="B109" s="368"/>
      <c r="C109" s="369"/>
      <c r="D109" s="368"/>
      <c r="E109" s="368"/>
      <c r="F109" s="368"/>
      <c r="G109" s="370"/>
      <c r="H109" s="3"/>
      <c r="I109" s="3"/>
      <c r="J109" s="3"/>
      <c r="K109" s="3"/>
      <c r="L109" s="3"/>
      <c r="M109" s="3"/>
      <c r="N109" s="3"/>
      <c r="O109" s="3"/>
      <c r="P109" s="3"/>
      <c r="Q109" s="3"/>
      <c r="R109" s="3"/>
      <c r="S109" s="3"/>
      <c r="T109" s="3"/>
      <c r="U109" s="3"/>
      <c r="V109" s="3"/>
      <c r="W109" s="3"/>
      <c r="X109" s="3"/>
      <c r="Y109" s="3"/>
    </row>
    <row r="110" spans="1:60" x14ac:dyDescent="0.2">
      <c r="A110" s="367"/>
      <c r="B110" s="368"/>
      <c r="C110" s="369"/>
      <c r="D110" s="368"/>
      <c r="E110" s="368"/>
      <c r="F110" s="368"/>
      <c r="G110" s="370"/>
      <c r="H110" s="3"/>
      <c r="I110" s="3"/>
      <c r="J110" s="3"/>
      <c r="K110" s="3"/>
      <c r="L110" s="3"/>
      <c r="M110" s="3"/>
      <c r="N110" s="3"/>
      <c r="O110" s="3"/>
      <c r="P110" s="3"/>
      <c r="Q110" s="3"/>
      <c r="R110" s="3"/>
      <c r="S110" s="3"/>
      <c r="T110" s="3"/>
      <c r="U110" s="3"/>
      <c r="V110" s="3"/>
      <c r="W110" s="3"/>
      <c r="X110" s="3"/>
      <c r="Y110" s="3"/>
    </row>
    <row r="111" spans="1:60" x14ac:dyDescent="0.2">
      <c r="A111" s="371"/>
      <c r="B111" s="372"/>
      <c r="C111" s="373"/>
      <c r="D111" s="372"/>
      <c r="E111" s="372"/>
      <c r="F111" s="372"/>
      <c r="G111" s="374"/>
      <c r="H111" s="3"/>
      <c r="I111" s="3"/>
      <c r="J111" s="3"/>
      <c r="K111" s="3"/>
      <c r="L111" s="3"/>
      <c r="M111" s="3"/>
      <c r="N111" s="3"/>
      <c r="O111" s="3"/>
      <c r="P111" s="3"/>
      <c r="Q111" s="3"/>
      <c r="R111" s="3"/>
      <c r="S111" s="3"/>
      <c r="T111" s="3"/>
      <c r="U111" s="3"/>
      <c r="V111" s="3"/>
      <c r="W111" s="3"/>
      <c r="X111" s="3"/>
      <c r="Y111" s="3"/>
    </row>
    <row r="112" spans="1:60" x14ac:dyDescent="0.2">
      <c r="A112" s="3"/>
      <c r="B112" s="4"/>
      <c r="C112" s="175"/>
      <c r="D112" s="6"/>
      <c r="E112" s="3"/>
      <c r="F112" s="3"/>
      <c r="G112" s="3"/>
      <c r="H112" s="3"/>
      <c r="I112" s="3"/>
      <c r="J112" s="3"/>
      <c r="K112" s="3"/>
      <c r="L112" s="3"/>
      <c r="M112" s="3"/>
      <c r="N112" s="3"/>
      <c r="O112" s="3"/>
      <c r="P112" s="3"/>
      <c r="Q112" s="3"/>
      <c r="R112" s="3"/>
      <c r="S112" s="3"/>
      <c r="T112" s="3"/>
      <c r="U112" s="3"/>
      <c r="V112" s="3"/>
      <c r="W112" s="3"/>
      <c r="X112" s="3"/>
      <c r="Y112" s="3"/>
    </row>
    <row r="113" spans="3:33" x14ac:dyDescent="0.2">
      <c r="C113" s="177"/>
      <c r="D113" s="10"/>
      <c r="AG113" t="s">
        <v>135</v>
      </c>
    </row>
    <row r="114" spans="3:33" x14ac:dyDescent="0.2">
      <c r="D114" s="10"/>
    </row>
    <row r="115" spans="3:33" x14ac:dyDescent="0.2">
      <c r="D115" s="10"/>
    </row>
    <row r="116" spans="3:33" x14ac:dyDescent="0.2">
      <c r="D116" s="10"/>
    </row>
    <row r="117" spans="3:33" x14ac:dyDescent="0.2">
      <c r="D117" s="10"/>
    </row>
    <row r="118" spans="3:33" x14ac:dyDescent="0.2">
      <c r="D118" s="10"/>
    </row>
    <row r="119" spans="3:33" x14ac:dyDescent="0.2">
      <c r="D119" s="10"/>
    </row>
    <row r="120" spans="3:33" x14ac:dyDescent="0.2">
      <c r="D120" s="10"/>
    </row>
    <row r="121" spans="3:33" x14ac:dyDescent="0.2">
      <c r="D121" s="10"/>
    </row>
    <row r="122" spans="3:33" x14ac:dyDescent="0.2">
      <c r="D122" s="10"/>
    </row>
    <row r="123" spans="3:33" x14ac:dyDescent="0.2">
      <c r="D123" s="10"/>
    </row>
    <row r="124" spans="3:33" x14ac:dyDescent="0.2">
      <c r="D124" s="10"/>
    </row>
    <row r="125" spans="3:33" x14ac:dyDescent="0.2">
      <c r="D125" s="10"/>
    </row>
    <row r="126" spans="3:33" x14ac:dyDescent="0.2">
      <c r="D126" s="10"/>
    </row>
    <row r="127" spans="3:33" x14ac:dyDescent="0.2">
      <c r="D127" s="10"/>
    </row>
    <row r="128" spans="3:33"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sheetData>
  <mergeCells count="8">
    <mergeCell ref="A107:G111"/>
    <mergeCell ref="C92:G92"/>
    <mergeCell ref="C98:G98"/>
    <mergeCell ref="A1:G1"/>
    <mergeCell ref="C2:G2"/>
    <mergeCell ref="C3:G3"/>
    <mergeCell ref="C4:G4"/>
    <mergeCell ref="A106:C106"/>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D3EE-5AFE-4674-94DD-4E5B54E5B17E}">
  <sheetPr>
    <pageSetUpPr fitToPage="1"/>
  </sheetPr>
  <dimension ref="B2:BM179"/>
  <sheetViews>
    <sheetView showGridLines="0" tabSelected="1" topLeftCell="A162" workbookViewId="0">
      <selection activeCell="I178" sqref="I178"/>
    </sheetView>
  </sheetViews>
  <sheetFormatPr defaultRowHeight="11.25" x14ac:dyDescent="0.2"/>
  <cols>
    <col min="1" max="1" width="7.140625" style="189" customWidth="1"/>
    <col min="2" max="2" width="1" style="189" customWidth="1"/>
    <col min="3" max="3" width="3.5703125" style="189" customWidth="1"/>
    <col min="4" max="4" width="3.7109375" style="189" customWidth="1"/>
    <col min="5" max="5" width="14.7109375" style="189" customWidth="1"/>
    <col min="6" max="6" width="43.5703125" style="189" customWidth="1"/>
    <col min="7" max="7" width="6.42578125" style="189" customWidth="1"/>
    <col min="8" max="8" width="12" style="189" customWidth="1"/>
    <col min="9" max="9" width="13.5703125" style="189" customWidth="1"/>
    <col min="10" max="10" width="19.140625" style="189" customWidth="1"/>
    <col min="11" max="11" width="19.140625" style="189" hidden="1" customWidth="1"/>
    <col min="12" max="12" width="8" style="189" customWidth="1"/>
    <col min="13" max="13" width="9.28515625" style="189" hidden="1" customWidth="1"/>
    <col min="14" max="14" width="9.140625" style="189"/>
    <col min="15" max="20" width="12.140625" style="189" hidden="1" customWidth="1"/>
    <col min="21" max="21" width="14" style="189" hidden="1" customWidth="1"/>
    <col min="22" max="22" width="10.5703125" style="189" customWidth="1"/>
    <col min="23" max="23" width="14" style="189" customWidth="1"/>
    <col min="24" max="24" width="10.5703125" style="189" customWidth="1"/>
    <col min="25" max="25" width="12.85546875" style="189" customWidth="1"/>
    <col min="26" max="26" width="9.42578125" style="189" customWidth="1"/>
    <col min="27" max="27" width="12.85546875" style="189" customWidth="1"/>
    <col min="28" max="28" width="14" style="189" customWidth="1"/>
    <col min="29" max="29" width="9.42578125" style="189" customWidth="1"/>
    <col min="30" max="30" width="12.85546875" style="189" customWidth="1"/>
    <col min="31" max="31" width="14" style="189" customWidth="1"/>
    <col min="32" max="16384" width="9.140625" style="189"/>
  </cols>
  <sheetData>
    <row r="2" spans="2:46" ht="36.950000000000003" customHeight="1" x14ac:dyDescent="0.2">
      <c r="L2" s="390" t="s">
        <v>270</v>
      </c>
      <c r="M2" s="391"/>
      <c r="N2" s="391"/>
      <c r="O2" s="391"/>
      <c r="P2" s="391"/>
      <c r="Q2" s="391"/>
      <c r="R2" s="391"/>
      <c r="S2" s="391"/>
      <c r="T2" s="391"/>
      <c r="U2" s="391"/>
      <c r="V2" s="391"/>
      <c r="AT2" s="190" t="s">
        <v>271</v>
      </c>
    </row>
    <row r="3" spans="2:46" ht="6.95" customHeight="1" x14ac:dyDescent="0.2">
      <c r="B3" s="191"/>
      <c r="C3" s="192"/>
      <c r="D3" s="192"/>
      <c r="E3" s="192"/>
      <c r="F3" s="192"/>
      <c r="G3" s="192"/>
      <c r="H3" s="192"/>
      <c r="I3" s="192"/>
      <c r="J3" s="192"/>
      <c r="K3" s="192"/>
      <c r="L3" s="193"/>
      <c r="AT3" s="190" t="s">
        <v>272</v>
      </c>
    </row>
    <row r="4" spans="2:46" ht="24.95" customHeight="1" x14ac:dyDescent="0.2">
      <c r="B4" s="193"/>
      <c r="D4" s="194" t="s">
        <v>273</v>
      </c>
      <c r="L4" s="193"/>
      <c r="M4" s="195" t="s">
        <v>274</v>
      </c>
      <c r="AT4" s="190" t="s">
        <v>275</v>
      </c>
    </row>
    <row r="5" spans="2:46" ht="6.95" customHeight="1" x14ac:dyDescent="0.2">
      <c r="B5" s="193"/>
      <c r="L5" s="193"/>
    </row>
    <row r="6" spans="2:46" ht="12" customHeight="1" x14ac:dyDescent="0.2">
      <c r="B6" s="193"/>
      <c r="D6" s="196" t="s">
        <v>24</v>
      </c>
      <c r="L6" s="193"/>
    </row>
    <row r="7" spans="2:46" ht="16.5" customHeight="1" x14ac:dyDescent="0.2">
      <c r="B7" s="193"/>
      <c r="E7" s="388" t="str">
        <f>'[3]Rekapitulace stavby'!K6</f>
        <v>FN Bohunice-úprava evidence DTC</v>
      </c>
      <c r="F7" s="389"/>
      <c r="G7" s="389"/>
      <c r="H7" s="389"/>
      <c r="L7" s="193"/>
    </row>
    <row r="8" spans="2:46" s="198" customFormat="1" ht="12" customHeight="1" x14ac:dyDescent="0.2">
      <c r="B8" s="197"/>
      <c r="D8" s="196" t="s">
        <v>276</v>
      </c>
      <c r="L8" s="197"/>
    </row>
    <row r="9" spans="2:46" s="198" customFormat="1" ht="16.5" customHeight="1" x14ac:dyDescent="0.2">
      <c r="B9" s="197"/>
      <c r="E9" s="386" t="s">
        <v>277</v>
      </c>
      <c r="F9" s="387"/>
      <c r="G9" s="387"/>
      <c r="H9" s="387"/>
      <c r="L9" s="197"/>
    </row>
    <row r="10" spans="2:46" s="198" customFormat="1" x14ac:dyDescent="0.2">
      <c r="B10" s="197"/>
      <c r="L10" s="197"/>
    </row>
    <row r="11" spans="2:46" s="198" customFormat="1" ht="12" customHeight="1" x14ac:dyDescent="0.2">
      <c r="B11" s="197"/>
      <c r="D11" s="196" t="s">
        <v>278</v>
      </c>
      <c r="F11" s="199" t="s">
        <v>279</v>
      </c>
      <c r="I11" s="196" t="s">
        <v>280</v>
      </c>
      <c r="J11" s="199" t="s">
        <v>279</v>
      </c>
      <c r="L11" s="197"/>
    </row>
    <row r="12" spans="2:46" s="198" customFormat="1" ht="12" customHeight="1" x14ac:dyDescent="0.2">
      <c r="B12" s="197"/>
      <c r="D12" s="196" t="s">
        <v>281</v>
      </c>
      <c r="F12" s="199" t="s">
        <v>282</v>
      </c>
      <c r="I12" s="196" t="s">
        <v>283</v>
      </c>
      <c r="J12" s="200" t="str">
        <f>'[3]Rekapitulace stavby'!AN8</f>
        <v>25. 10. 2025</v>
      </c>
      <c r="L12" s="197"/>
    </row>
    <row r="13" spans="2:46" s="198" customFormat="1" ht="10.9" customHeight="1" x14ac:dyDescent="0.2">
      <c r="B13" s="197"/>
      <c r="L13" s="197"/>
    </row>
    <row r="14" spans="2:46" s="198" customFormat="1" ht="12" customHeight="1" x14ac:dyDescent="0.2">
      <c r="B14" s="197"/>
      <c r="D14" s="196" t="s">
        <v>284</v>
      </c>
      <c r="I14" s="196" t="s">
        <v>285</v>
      </c>
      <c r="J14" s="199" t="str">
        <f>IF('[3]Rekapitulace stavby'!AN10="","",'[3]Rekapitulace stavby'!AN10)</f>
        <v/>
      </c>
      <c r="L14" s="197"/>
    </row>
    <row r="15" spans="2:46" s="198" customFormat="1" ht="18" customHeight="1" x14ac:dyDescent="0.2">
      <c r="B15" s="197"/>
      <c r="E15" s="199" t="str">
        <f>IF('[3]Rekapitulace stavby'!E11="","",'[3]Rekapitulace stavby'!E11)</f>
        <v xml:space="preserve"> </v>
      </c>
      <c r="I15" s="196" t="s">
        <v>36</v>
      </c>
      <c r="J15" s="199" t="str">
        <f>IF('[3]Rekapitulace stavby'!AN11="","",'[3]Rekapitulace stavby'!AN11)</f>
        <v/>
      </c>
      <c r="L15" s="197"/>
    </row>
    <row r="16" spans="2:46" s="198" customFormat="1" ht="6.95" customHeight="1" x14ac:dyDescent="0.2">
      <c r="B16" s="197"/>
      <c r="L16" s="197"/>
    </row>
    <row r="17" spans="2:12" s="198" customFormat="1" ht="12" customHeight="1" x14ac:dyDescent="0.2">
      <c r="B17" s="197"/>
      <c r="D17" s="196" t="s">
        <v>20</v>
      </c>
      <c r="I17" s="196" t="s">
        <v>285</v>
      </c>
      <c r="J17" s="199" t="str">
        <f>'[3]Rekapitulace stavby'!AN13</f>
        <v/>
      </c>
      <c r="L17" s="197"/>
    </row>
    <row r="18" spans="2:12" s="198" customFormat="1" ht="18" customHeight="1" x14ac:dyDescent="0.2">
      <c r="B18" s="197"/>
      <c r="E18" s="392" t="str">
        <f>'[3]Rekapitulace stavby'!E14</f>
        <v xml:space="preserve"> </v>
      </c>
      <c r="F18" s="392"/>
      <c r="G18" s="392"/>
      <c r="H18" s="392"/>
      <c r="I18" s="196" t="s">
        <v>36</v>
      </c>
      <c r="J18" s="199" t="str">
        <f>'[3]Rekapitulace stavby'!AN14</f>
        <v/>
      </c>
      <c r="L18" s="197"/>
    </row>
    <row r="19" spans="2:12" s="198" customFormat="1" ht="6.95" customHeight="1" x14ac:dyDescent="0.2">
      <c r="B19" s="197"/>
      <c r="L19" s="197"/>
    </row>
    <row r="20" spans="2:12" s="198" customFormat="1" ht="12" customHeight="1" x14ac:dyDescent="0.2">
      <c r="B20" s="197"/>
      <c r="D20" s="196" t="s">
        <v>21</v>
      </c>
      <c r="I20" s="196" t="s">
        <v>285</v>
      </c>
      <c r="J20" s="199" t="s">
        <v>286</v>
      </c>
      <c r="L20" s="197"/>
    </row>
    <row r="21" spans="2:12" s="198" customFormat="1" ht="18" customHeight="1" x14ac:dyDescent="0.2">
      <c r="B21" s="197"/>
      <c r="E21" s="199" t="s">
        <v>287</v>
      </c>
      <c r="I21" s="196" t="s">
        <v>36</v>
      </c>
      <c r="J21" s="199" t="s">
        <v>279</v>
      </c>
      <c r="L21" s="197"/>
    </row>
    <row r="22" spans="2:12" s="198" customFormat="1" ht="6.95" customHeight="1" x14ac:dyDescent="0.2">
      <c r="B22" s="197"/>
      <c r="L22" s="197"/>
    </row>
    <row r="23" spans="2:12" s="198" customFormat="1" ht="12" customHeight="1" x14ac:dyDescent="0.2">
      <c r="B23" s="197"/>
      <c r="D23" s="196" t="s">
        <v>288</v>
      </c>
      <c r="I23" s="196" t="s">
        <v>285</v>
      </c>
      <c r="J23" s="199" t="s">
        <v>279</v>
      </c>
      <c r="L23" s="197"/>
    </row>
    <row r="24" spans="2:12" s="198" customFormat="1" ht="18" customHeight="1" x14ac:dyDescent="0.2">
      <c r="B24" s="197"/>
      <c r="E24" s="199" t="s">
        <v>289</v>
      </c>
      <c r="I24" s="196" t="s">
        <v>36</v>
      </c>
      <c r="J24" s="199" t="s">
        <v>279</v>
      </c>
      <c r="L24" s="197"/>
    </row>
    <row r="25" spans="2:12" s="198" customFormat="1" ht="6.95" customHeight="1" x14ac:dyDescent="0.2">
      <c r="B25" s="197"/>
      <c r="L25" s="197"/>
    </row>
    <row r="26" spans="2:12" s="198" customFormat="1" ht="12" customHeight="1" x14ac:dyDescent="0.2">
      <c r="B26" s="197"/>
      <c r="D26" s="196" t="s">
        <v>290</v>
      </c>
      <c r="L26" s="197"/>
    </row>
    <row r="27" spans="2:12" s="202" customFormat="1" ht="16.5" customHeight="1" x14ac:dyDescent="0.2">
      <c r="B27" s="201"/>
      <c r="E27" s="393" t="s">
        <v>279</v>
      </c>
      <c r="F27" s="393"/>
      <c r="G27" s="393"/>
      <c r="H27" s="393"/>
      <c r="L27" s="201"/>
    </row>
    <row r="28" spans="2:12" s="198" customFormat="1" ht="6.95" customHeight="1" x14ac:dyDescent="0.2">
      <c r="B28" s="197"/>
      <c r="L28" s="197"/>
    </row>
    <row r="29" spans="2:12" s="198" customFormat="1" ht="6.95" customHeight="1" x14ac:dyDescent="0.2">
      <c r="B29" s="197"/>
      <c r="D29" s="204"/>
      <c r="E29" s="204"/>
      <c r="F29" s="204"/>
      <c r="G29" s="204"/>
      <c r="H29" s="204"/>
      <c r="I29" s="204"/>
      <c r="J29" s="204"/>
      <c r="K29" s="204"/>
      <c r="L29" s="197"/>
    </row>
    <row r="30" spans="2:12" s="198" customFormat="1" ht="25.35" customHeight="1" x14ac:dyDescent="0.2">
      <c r="B30" s="197"/>
      <c r="D30" s="205" t="s">
        <v>291</v>
      </c>
      <c r="J30" s="206">
        <f>ROUND(J128, 2)</f>
        <v>0</v>
      </c>
      <c r="L30" s="197"/>
    </row>
    <row r="31" spans="2:12" s="198" customFormat="1" ht="6.95" customHeight="1" x14ac:dyDescent="0.2">
      <c r="B31" s="197"/>
      <c r="D31" s="204"/>
      <c r="E31" s="204"/>
      <c r="F31" s="204"/>
      <c r="G31" s="204"/>
      <c r="H31" s="204"/>
      <c r="I31" s="204"/>
      <c r="J31" s="204"/>
      <c r="K31" s="204"/>
      <c r="L31" s="197"/>
    </row>
    <row r="32" spans="2:12" s="198" customFormat="1" ht="14.45" customHeight="1" x14ac:dyDescent="0.2">
      <c r="B32" s="197"/>
      <c r="F32" s="207" t="s">
        <v>292</v>
      </c>
      <c r="I32" s="207" t="s">
        <v>293</v>
      </c>
      <c r="J32" s="207" t="s">
        <v>294</v>
      </c>
      <c r="L32" s="197"/>
    </row>
    <row r="33" spans="2:12" s="198" customFormat="1" ht="14.45" customHeight="1" x14ac:dyDescent="0.2">
      <c r="B33" s="197"/>
      <c r="D33" s="208" t="s">
        <v>101</v>
      </c>
      <c r="E33" s="196" t="s">
        <v>295</v>
      </c>
      <c r="F33" s="209">
        <f>ROUND((SUM(BE128:BE178)),  2)</f>
        <v>0</v>
      </c>
      <c r="I33" s="210">
        <v>0.21</v>
      </c>
      <c r="J33" s="209">
        <f>ROUND(((SUM(BE128:BE178))*I33),  2)</f>
        <v>0</v>
      </c>
      <c r="L33" s="197"/>
    </row>
    <row r="34" spans="2:12" s="198" customFormat="1" ht="14.45" customHeight="1" x14ac:dyDescent="0.2">
      <c r="B34" s="197"/>
      <c r="E34" s="196" t="s">
        <v>296</v>
      </c>
      <c r="F34" s="209">
        <f>ROUND((SUM(BF128:BF178)),  2)</f>
        <v>0</v>
      </c>
      <c r="I34" s="210">
        <v>0.12</v>
      </c>
      <c r="J34" s="209">
        <f>ROUND(((SUM(BF128:BF178))*I34),  2)</f>
        <v>0</v>
      </c>
      <c r="L34" s="197"/>
    </row>
    <row r="35" spans="2:12" s="198" customFormat="1" ht="14.45" hidden="1" customHeight="1" x14ac:dyDescent="0.2">
      <c r="B35" s="197"/>
      <c r="E35" s="196" t="s">
        <v>297</v>
      </c>
      <c r="F35" s="209">
        <f>ROUND((SUM(BG128:BG178)),  2)</f>
        <v>0</v>
      </c>
      <c r="I35" s="210">
        <v>0.21</v>
      </c>
      <c r="J35" s="209">
        <f>0</f>
        <v>0</v>
      </c>
      <c r="L35" s="197"/>
    </row>
    <row r="36" spans="2:12" s="198" customFormat="1" ht="14.45" hidden="1" customHeight="1" x14ac:dyDescent="0.2">
      <c r="B36" s="197"/>
      <c r="E36" s="196" t="s">
        <v>298</v>
      </c>
      <c r="F36" s="209">
        <f>ROUND((SUM(BH128:BH178)),  2)</f>
        <v>0</v>
      </c>
      <c r="I36" s="210">
        <v>0.12</v>
      </c>
      <c r="J36" s="209">
        <f>0</f>
        <v>0</v>
      </c>
      <c r="L36" s="197"/>
    </row>
    <row r="37" spans="2:12" s="198" customFormat="1" ht="14.45" hidden="1" customHeight="1" x14ac:dyDescent="0.2">
      <c r="B37" s="197"/>
      <c r="E37" s="196" t="s">
        <v>299</v>
      </c>
      <c r="F37" s="209">
        <f>ROUND((SUM(BI128:BI178)),  2)</f>
        <v>0</v>
      </c>
      <c r="I37" s="210">
        <v>0</v>
      </c>
      <c r="J37" s="209">
        <f>0</f>
        <v>0</v>
      </c>
      <c r="L37" s="197"/>
    </row>
    <row r="38" spans="2:12" s="198" customFormat="1" ht="6.95" customHeight="1" x14ac:dyDescent="0.2">
      <c r="B38" s="197"/>
      <c r="L38" s="197"/>
    </row>
    <row r="39" spans="2:12" s="198" customFormat="1" ht="25.35" customHeight="1" x14ac:dyDescent="0.2">
      <c r="B39" s="197"/>
      <c r="C39" s="211"/>
      <c r="D39" s="212" t="s">
        <v>102</v>
      </c>
      <c r="E39" s="213"/>
      <c r="F39" s="213"/>
      <c r="G39" s="214" t="s">
        <v>12</v>
      </c>
      <c r="H39" s="215" t="s">
        <v>52</v>
      </c>
      <c r="I39" s="213"/>
      <c r="J39" s="216">
        <f>SUM(J30:J37)</f>
        <v>0</v>
      </c>
      <c r="K39" s="217"/>
      <c r="L39" s="197"/>
    </row>
    <row r="40" spans="2:12" s="198" customFormat="1" ht="14.45" customHeight="1" x14ac:dyDescent="0.2">
      <c r="B40" s="197"/>
      <c r="L40" s="197"/>
    </row>
    <row r="41" spans="2:12" ht="14.45" customHeight="1" x14ac:dyDescent="0.2">
      <c r="B41" s="193"/>
      <c r="L41" s="193"/>
    </row>
    <row r="42" spans="2:12" ht="14.45" customHeight="1" x14ac:dyDescent="0.2">
      <c r="B42" s="193"/>
      <c r="L42" s="193"/>
    </row>
    <row r="43" spans="2:12" ht="14.45" customHeight="1" x14ac:dyDescent="0.2">
      <c r="B43" s="193"/>
      <c r="L43" s="193"/>
    </row>
    <row r="44" spans="2:12" ht="14.45" customHeight="1" x14ac:dyDescent="0.2">
      <c r="B44" s="193"/>
      <c r="L44" s="193"/>
    </row>
    <row r="45" spans="2:12" ht="14.45" customHeight="1" x14ac:dyDescent="0.2">
      <c r="B45" s="193"/>
      <c r="L45" s="193"/>
    </row>
    <row r="46" spans="2:12" ht="14.45" customHeight="1" x14ac:dyDescent="0.2">
      <c r="B46" s="193"/>
      <c r="L46" s="193"/>
    </row>
    <row r="47" spans="2:12" ht="14.45" customHeight="1" x14ac:dyDescent="0.2">
      <c r="B47" s="193"/>
      <c r="L47" s="193"/>
    </row>
    <row r="48" spans="2:12" ht="14.45" customHeight="1" x14ac:dyDescent="0.2">
      <c r="B48" s="193"/>
      <c r="L48" s="193"/>
    </row>
    <row r="49" spans="2:12" ht="14.45" customHeight="1" x14ac:dyDescent="0.2">
      <c r="B49" s="193"/>
      <c r="L49" s="193"/>
    </row>
    <row r="50" spans="2:12" s="198" customFormat="1" ht="14.45" customHeight="1" x14ac:dyDescent="0.2">
      <c r="B50" s="197"/>
      <c r="D50" s="218" t="s">
        <v>300</v>
      </c>
      <c r="E50" s="219"/>
      <c r="F50" s="219"/>
      <c r="G50" s="218" t="s">
        <v>301</v>
      </c>
      <c r="H50" s="219"/>
      <c r="I50" s="219"/>
      <c r="J50" s="219"/>
      <c r="K50" s="219"/>
      <c r="L50" s="197"/>
    </row>
    <row r="51" spans="2:12" x14ac:dyDescent="0.2">
      <c r="B51" s="193"/>
      <c r="L51" s="193"/>
    </row>
    <row r="52" spans="2:12" x14ac:dyDescent="0.2">
      <c r="B52" s="193"/>
      <c r="L52" s="193"/>
    </row>
    <row r="53" spans="2:12" x14ac:dyDescent="0.2">
      <c r="B53" s="193"/>
      <c r="L53" s="193"/>
    </row>
    <row r="54" spans="2:12" x14ac:dyDescent="0.2">
      <c r="B54" s="193"/>
      <c r="L54" s="193"/>
    </row>
    <row r="55" spans="2:12" x14ac:dyDescent="0.2">
      <c r="B55" s="193"/>
      <c r="L55" s="193"/>
    </row>
    <row r="56" spans="2:12" x14ac:dyDescent="0.2">
      <c r="B56" s="193"/>
      <c r="L56" s="193"/>
    </row>
    <row r="57" spans="2:12" x14ac:dyDescent="0.2">
      <c r="B57" s="193"/>
      <c r="L57" s="193"/>
    </row>
    <row r="58" spans="2:12" x14ac:dyDescent="0.2">
      <c r="B58" s="193"/>
      <c r="L58" s="193"/>
    </row>
    <row r="59" spans="2:12" x14ac:dyDescent="0.2">
      <c r="B59" s="193"/>
      <c r="L59" s="193"/>
    </row>
    <row r="60" spans="2:12" x14ac:dyDescent="0.2">
      <c r="B60" s="193"/>
      <c r="L60" s="193"/>
    </row>
    <row r="61" spans="2:12" s="198" customFormat="1" ht="12.75" x14ac:dyDescent="0.2">
      <c r="B61" s="197"/>
      <c r="D61" s="220" t="s">
        <v>302</v>
      </c>
      <c r="E61" s="221"/>
      <c r="F61" s="222" t="s">
        <v>303</v>
      </c>
      <c r="G61" s="220" t="s">
        <v>302</v>
      </c>
      <c r="H61" s="221"/>
      <c r="I61" s="221"/>
      <c r="J61" s="223" t="s">
        <v>303</v>
      </c>
      <c r="K61" s="221"/>
      <c r="L61" s="197"/>
    </row>
    <row r="62" spans="2:12" x14ac:dyDescent="0.2">
      <c r="B62" s="193"/>
      <c r="L62" s="193"/>
    </row>
    <row r="63" spans="2:12" x14ac:dyDescent="0.2">
      <c r="B63" s="193"/>
      <c r="L63" s="193"/>
    </row>
    <row r="64" spans="2:12" x14ac:dyDescent="0.2">
      <c r="B64" s="193"/>
      <c r="L64" s="193"/>
    </row>
    <row r="65" spans="2:12" s="198" customFormat="1" ht="12.75" x14ac:dyDescent="0.2">
      <c r="B65" s="197"/>
      <c r="D65" s="218" t="s">
        <v>304</v>
      </c>
      <c r="E65" s="219"/>
      <c r="F65" s="219"/>
      <c r="G65" s="218" t="s">
        <v>305</v>
      </c>
      <c r="H65" s="219"/>
      <c r="I65" s="219"/>
      <c r="J65" s="219"/>
      <c r="K65" s="219"/>
      <c r="L65" s="197"/>
    </row>
    <row r="66" spans="2:12" x14ac:dyDescent="0.2">
      <c r="B66" s="193"/>
      <c r="L66" s="193"/>
    </row>
    <row r="67" spans="2:12" x14ac:dyDescent="0.2">
      <c r="B67" s="193"/>
      <c r="L67" s="193"/>
    </row>
    <row r="68" spans="2:12" x14ac:dyDescent="0.2">
      <c r="B68" s="193"/>
      <c r="L68" s="193"/>
    </row>
    <row r="69" spans="2:12" x14ac:dyDescent="0.2">
      <c r="B69" s="193"/>
      <c r="L69" s="193"/>
    </row>
    <row r="70" spans="2:12" x14ac:dyDescent="0.2">
      <c r="B70" s="193"/>
      <c r="L70" s="193"/>
    </row>
    <row r="71" spans="2:12" x14ac:dyDescent="0.2">
      <c r="B71" s="193"/>
      <c r="L71" s="193"/>
    </row>
    <row r="72" spans="2:12" x14ac:dyDescent="0.2">
      <c r="B72" s="193"/>
      <c r="L72" s="193"/>
    </row>
    <row r="73" spans="2:12" x14ac:dyDescent="0.2">
      <c r="B73" s="193"/>
      <c r="L73" s="193"/>
    </row>
    <row r="74" spans="2:12" x14ac:dyDescent="0.2">
      <c r="B74" s="193"/>
      <c r="L74" s="193"/>
    </row>
    <row r="75" spans="2:12" x14ac:dyDescent="0.2">
      <c r="B75" s="193"/>
      <c r="L75" s="193"/>
    </row>
    <row r="76" spans="2:12" s="198" customFormat="1" ht="12.75" x14ac:dyDescent="0.2">
      <c r="B76" s="197"/>
      <c r="D76" s="220" t="s">
        <v>302</v>
      </c>
      <c r="E76" s="221"/>
      <c r="F76" s="222" t="s">
        <v>303</v>
      </c>
      <c r="G76" s="220" t="s">
        <v>302</v>
      </c>
      <c r="H76" s="221"/>
      <c r="I76" s="221"/>
      <c r="J76" s="223" t="s">
        <v>303</v>
      </c>
      <c r="K76" s="221"/>
      <c r="L76" s="197"/>
    </row>
    <row r="77" spans="2:12" s="198" customFormat="1" ht="14.45" customHeight="1" x14ac:dyDescent="0.2">
      <c r="B77" s="224"/>
      <c r="C77" s="225"/>
      <c r="D77" s="225"/>
      <c r="E77" s="225"/>
      <c r="F77" s="225"/>
      <c r="G77" s="225"/>
      <c r="H77" s="225"/>
      <c r="I77" s="225"/>
      <c r="J77" s="225"/>
      <c r="K77" s="225"/>
      <c r="L77" s="197"/>
    </row>
    <row r="81" spans="2:47" s="198" customFormat="1" ht="6.95" customHeight="1" x14ac:dyDescent="0.2">
      <c r="B81" s="226"/>
      <c r="C81" s="227"/>
      <c r="D81" s="227"/>
      <c r="E81" s="227"/>
      <c r="F81" s="227"/>
      <c r="G81" s="227"/>
      <c r="H81" s="227"/>
      <c r="I81" s="227"/>
      <c r="J81" s="227"/>
      <c r="K81" s="227"/>
      <c r="L81" s="197"/>
    </row>
    <row r="82" spans="2:47" s="198" customFormat="1" ht="24.95" customHeight="1" x14ac:dyDescent="0.2">
      <c r="B82" s="197"/>
      <c r="C82" s="194" t="s">
        <v>306</v>
      </c>
      <c r="L82" s="197"/>
    </row>
    <row r="83" spans="2:47" s="198" customFormat="1" ht="6.95" customHeight="1" x14ac:dyDescent="0.2">
      <c r="B83" s="197"/>
      <c r="L83" s="197"/>
    </row>
    <row r="84" spans="2:47" s="198" customFormat="1" ht="12" customHeight="1" x14ac:dyDescent="0.2">
      <c r="B84" s="197"/>
      <c r="C84" s="196" t="s">
        <v>24</v>
      </c>
      <c r="L84" s="197"/>
    </row>
    <row r="85" spans="2:47" s="198" customFormat="1" ht="16.5" customHeight="1" x14ac:dyDescent="0.2">
      <c r="B85" s="197"/>
      <c r="E85" s="388" t="str">
        <f>E7</f>
        <v>FN Bohunice-úprava evidence DTC</v>
      </c>
      <c r="F85" s="389"/>
      <c r="G85" s="389"/>
      <c r="H85" s="389"/>
      <c r="L85" s="197"/>
    </row>
    <row r="86" spans="2:47" s="198" customFormat="1" ht="12" customHeight="1" x14ac:dyDescent="0.2">
      <c r="B86" s="197"/>
      <c r="C86" s="196" t="s">
        <v>276</v>
      </c>
      <c r="L86" s="197"/>
    </row>
    <row r="87" spans="2:47" s="198" customFormat="1" ht="16.5" customHeight="1" x14ac:dyDescent="0.2">
      <c r="B87" s="197"/>
      <c r="E87" s="386" t="str">
        <f>E9</f>
        <v>1. - TPS - Silnoproud</v>
      </c>
      <c r="F87" s="387"/>
      <c r="G87" s="387"/>
      <c r="H87" s="387"/>
      <c r="L87" s="197"/>
    </row>
    <row r="88" spans="2:47" s="198" customFormat="1" ht="6.95" customHeight="1" x14ac:dyDescent="0.2">
      <c r="B88" s="197"/>
      <c r="L88" s="197"/>
    </row>
    <row r="89" spans="2:47" s="198" customFormat="1" ht="12" customHeight="1" x14ac:dyDescent="0.2">
      <c r="B89" s="197"/>
      <c r="C89" s="196" t="s">
        <v>281</v>
      </c>
      <c r="F89" s="199" t="str">
        <f>F12</f>
        <v>Brno</v>
      </c>
      <c r="I89" s="196" t="s">
        <v>283</v>
      </c>
      <c r="J89" s="200" t="str">
        <f>IF(J12="","",J12)</f>
        <v>25. 10. 2025</v>
      </c>
      <c r="L89" s="197"/>
    </row>
    <row r="90" spans="2:47" s="198" customFormat="1" ht="6.95" customHeight="1" x14ac:dyDescent="0.2">
      <c r="B90" s="197"/>
      <c r="L90" s="197"/>
    </row>
    <row r="91" spans="2:47" s="198" customFormat="1" ht="15.2" customHeight="1" x14ac:dyDescent="0.2">
      <c r="B91" s="197"/>
      <c r="C91" s="196" t="s">
        <v>284</v>
      </c>
      <c r="F91" s="199" t="str">
        <f>E15</f>
        <v xml:space="preserve"> </v>
      </c>
      <c r="I91" s="196" t="s">
        <v>21</v>
      </c>
      <c r="J91" s="203" t="str">
        <f>E21</f>
        <v>Oldřich Střítecký</v>
      </c>
      <c r="L91" s="197"/>
    </row>
    <row r="92" spans="2:47" s="198" customFormat="1" ht="15.2" customHeight="1" x14ac:dyDescent="0.2">
      <c r="B92" s="197"/>
      <c r="C92" s="196" t="s">
        <v>20</v>
      </c>
      <c r="F92" s="199" t="str">
        <f>IF(E18="","",E18)</f>
        <v xml:space="preserve"> </v>
      </c>
      <c r="I92" s="196" t="s">
        <v>288</v>
      </c>
      <c r="J92" s="203" t="str">
        <f>E24</f>
        <v>PK Střítecký</v>
      </c>
      <c r="L92" s="197"/>
    </row>
    <row r="93" spans="2:47" s="198" customFormat="1" ht="10.35" customHeight="1" x14ac:dyDescent="0.2">
      <c r="B93" s="197"/>
      <c r="L93" s="197"/>
    </row>
    <row r="94" spans="2:47" s="198" customFormat="1" ht="29.25" customHeight="1" x14ac:dyDescent="0.2">
      <c r="B94" s="197"/>
      <c r="C94" s="228" t="s">
        <v>307</v>
      </c>
      <c r="D94" s="211"/>
      <c r="E94" s="211"/>
      <c r="F94" s="211"/>
      <c r="G94" s="211"/>
      <c r="H94" s="211"/>
      <c r="I94" s="211"/>
      <c r="J94" s="229" t="s">
        <v>308</v>
      </c>
      <c r="K94" s="211"/>
      <c r="L94" s="197"/>
    </row>
    <row r="95" spans="2:47" s="198" customFormat="1" ht="10.35" customHeight="1" x14ac:dyDescent="0.2">
      <c r="B95" s="197"/>
      <c r="L95" s="197"/>
    </row>
    <row r="96" spans="2:47" s="198" customFormat="1" ht="22.9" customHeight="1" x14ac:dyDescent="0.2">
      <c r="B96" s="197"/>
      <c r="C96" s="230" t="s">
        <v>309</v>
      </c>
      <c r="J96" s="206">
        <f>J128</f>
        <v>0</v>
      </c>
      <c r="L96" s="197"/>
      <c r="AU96" s="190" t="s">
        <v>310</v>
      </c>
    </row>
    <row r="97" spans="2:12" s="232" customFormat="1" ht="24.95" customHeight="1" x14ac:dyDescent="0.2">
      <c r="B97" s="231"/>
      <c r="D97" s="233" t="s">
        <v>311</v>
      </c>
      <c r="E97" s="234"/>
      <c r="F97" s="234"/>
      <c r="G97" s="234"/>
      <c r="H97" s="234"/>
      <c r="I97" s="234"/>
      <c r="J97" s="235">
        <f>J129</f>
        <v>0</v>
      </c>
      <c r="L97" s="231"/>
    </row>
    <row r="98" spans="2:12" s="237" customFormat="1" ht="19.899999999999999" customHeight="1" x14ac:dyDescent="0.2">
      <c r="B98" s="236"/>
      <c r="D98" s="238" t="s">
        <v>312</v>
      </c>
      <c r="E98" s="239"/>
      <c r="F98" s="239"/>
      <c r="G98" s="239"/>
      <c r="H98" s="239"/>
      <c r="I98" s="239"/>
      <c r="J98" s="240">
        <f>J130</f>
        <v>0</v>
      </c>
      <c r="L98" s="236"/>
    </row>
    <row r="99" spans="2:12" s="237" customFormat="1" ht="14.85" customHeight="1" x14ac:dyDescent="0.2">
      <c r="B99" s="236"/>
      <c r="D99" s="238" t="s">
        <v>313</v>
      </c>
      <c r="E99" s="239"/>
      <c r="F99" s="239"/>
      <c r="G99" s="239"/>
      <c r="H99" s="239"/>
      <c r="I99" s="239"/>
      <c r="J99" s="240">
        <f>J135</f>
        <v>0</v>
      </c>
      <c r="L99" s="236"/>
    </row>
    <row r="100" spans="2:12" s="237" customFormat="1" ht="14.85" customHeight="1" x14ac:dyDescent="0.2">
      <c r="B100" s="236"/>
      <c r="D100" s="238" t="s">
        <v>314</v>
      </c>
      <c r="E100" s="239"/>
      <c r="F100" s="239"/>
      <c r="G100" s="239"/>
      <c r="H100" s="239"/>
      <c r="I100" s="239"/>
      <c r="J100" s="240">
        <f>J146</f>
        <v>0</v>
      </c>
      <c r="L100" s="236"/>
    </row>
    <row r="101" spans="2:12" s="237" customFormat="1" ht="14.85" customHeight="1" x14ac:dyDescent="0.2">
      <c r="B101" s="236"/>
      <c r="D101" s="238" t="s">
        <v>315</v>
      </c>
      <c r="E101" s="239"/>
      <c r="F101" s="239"/>
      <c r="G101" s="239"/>
      <c r="H101" s="239"/>
      <c r="I101" s="239"/>
      <c r="J101" s="240">
        <f>J160</f>
        <v>0</v>
      </c>
      <c r="L101" s="236"/>
    </row>
    <row r="102" spans="2:12" s="232" customFormat="1" ht="24.95" customHeight="1" x14ac:dyDescent="0.2">
      <c r="B102" s="231"/>
      <c r="D102" s="233" t="s">
        <v>316</v>
      </c>
      <c r="E102" s="234"/>
      <c r="F102" s="234"/>
      <c r="G102" s="234"/>
      <c r="H102" s="234"/>
      <c r="I102" s="234"/>
      <c r="J102" s="235">
        <f>J163</f>
        <v>0</v>
      </c>
      <c r="L102" s="231"/>
    </row>
    <row r="103" spans="2:12" s="237" customFormat="1" ht="19.899999999999999" customHeight="1" x14ac:dyDescent="0.2">
      <c r="B103" s="236"/>
      <c r="D103" s="238" t="s">
        <v>317</v>
      </c>
      <c r="E103" s="239"/>
      <c r="F103" s="239"/>
      <c r="G103" s="239"/>
      <c r="H103" s="239"/>
      <c r="I103" s="239"/>
      <c r="J103" s="240">
        <f>J164</f>
        <v>0</v>
      </c>
      <c r="L103" s="236"/>
    </row>
    <row r="104" spans="2:12" s="237" customFormat="1" ht="19.899999999999999" customHeight="1" x14ac:dyDescent="0.2">
      <c r="B104" s="236"/>
      <c r="D104" s="238" t="s">
        <v>318</v>
      </c>
      <c r="E104" s="239"/>
      <c r="F104" s="239"/>
      <c r="G104" s="239"/>
      <c r="H104" s="239"/>
      <c r="I104" s="239"/>
      <c r="J104" s="240">
        <f>J172</f>
        <v>0</v>
      </c>
      <c r="L104" s="236"/>
    </row>
    <row r="105" spans="2:12" s="232" customFormat="1" ht="24.95" customHeight="1" x14ac:dyDescent="0.2">
      <c r="B105" s="231"/>
      <c r="D105" s="233" t="s">
        <v>319</v>
      </c>
      <c r="E105" s="234"/>
      <c r="F105" s="234"/>
      <c r="G105" s="234"/>
      <c r="H105" s="234"/>
      <c r="I105" s="234"/>
      <c r="J105" s="235">
        <f>J174</f>
        <v>0</v>
      </c>
      <c r="L105" s="231"/>
    </row>
    <row r="106" spans="2:12" s="237" customFormat="1" ht="19.899999999999999" customHeight="1" x14ac:dyDescent="0.2">
      <c r="B106" s="236"/>
      <c r="D106" s="238" t="s">
        <v>320</v>
      </c>
      <c r="E106" s="239"/>
      <c r="F106" s="239"/>
      <c r="G106" s="239"/>
      <c r="H106" s="239"/>
      <c r="I106" s="239"/>
      <c r="J106" s="240">
        <f>J175</f>
        <v>0</v>
      </c>
      <c r="L106" s="236"/>
    </row>
    <row r="107" spans="2:12" s="237" customFormat="1" ht="19.899999999999999" customHeight="1" x14ac:dyDescent="0.2">
      <c r="B107" s="236"/>
      <c r="D107" s="238" t="s">
        <v>321</v>
      </c>
      <c r="E107" s="239"/>
      <c r="F107" s="239"/>
      <c r="G107" s="239"/>
      <c r="H107" s="239"/>
      <c r="I107" s="239"/>
      <c r="J107" s="240">
        <f>J177</f>
        <v>0</v>
      </c>
      <c r="L107" s="236"/>
    </row>
    <row r="108" spans="2:12" s="237" customFormat="1" ht="19.899999999999999" customHeight="1" x14ac:dyDescent="0.2">
      <c r="B108" s="236"/>
      <c r="D108" s="238"/>
      <c r="E108" s="239"/>
      <c r="F108" s="239"/>
      <c r="G108" s="239"/>
      <c r="H108" s="239"/>
      <c r="I108" s="239"/>
      <c r="J108" s="240"/>
      <c r="L108" s="236"/>
    </row>
    <row r="109" spans="2:12" s="198" customFormat="1" ht="21.75" customHeight="1" x14ac:dyDescent="0.2">
      <c r="B109" s="197"/>
      <c r="L109" s="197"/>
    </row>
    <row r="110" spans="2:12" s="198" customFormat="1" ht="6.95" customHeight="1" x14ac:dyDescent="0.2">
      <c r="B110" s="224"/>
      <c r="C110" s="225"/>
      <c r="D110" s="225"/>
      <c r="E110" s="225"/>
      <c r="F110" s="225"/>
      <c r="G110" s="225"/>
      <c r="H110" s="225"/>
      <c r="I110" s="225"/>
      <c r="J110" s="225"/>
      <c r="K110" s="225"/>
      <c r="L110" s="197"/>
    </row>
    <row r="114" spans="2:63" s="198" customFormat="1" ht="6.95" customHeight="1" x14ac:dyDescent="0.2">
      <c r="B114" s="226"/>
      <c r="C114" s="227"/>
      <c r="D114" s="227"/>
      <c r="E114" s="227"/>
      <c r="F114" s="227"/>
      <c r="G114" s="227"/>
      <c r="H114" s="227"/>
      <c r="I114" s="227"/>
      <c r="J114" s="227"/>
      <c r="K114" s="227"/>
      <c r="L114" s="197"/>
    </row>
    <row r="115" spans="2:63" s="198" customFormat="1" ht="24.95" customHeight="1" x14ac:dyDescent="0.2">
      <c r="B115" s="197"/>
      <c r="C115" s="194" t="s">
        <v>322</v>
      </c>
      <c r="L115" s="197"/>
    </row>
    <row r="116" spans="2:63" s="198" customFormat="1" ht="6.95" customHeight="1" x14ac:dyDescent="0.2">
      <c r="B116" s="197"/>
      <c r="L116" s="197"/>
    </row>
    <row r="117" spans="2:63" s="198" customFormat="1" ht="12" customHeight="1" x14ac:dyDescent="0.2">
      <c r="B117" s="197"/>
      <c r="C117" s="196" t="s">
        <v>24</v>
      </c>
      <c r="L117" s="197"/>
    </row>
    <row r="118" spans="2:63" s="198" customFormat="1" ht="16.5" customHeight="1" x14ac:dyDescent="0.2">
      <c r="B118" s="197"/>
      <c r="E118" s="388" t="str">
        <f>E7</f>
        <v>FN Bohunice-úprava evidence DTC</v>
      </c>
      <c r="F118" s="389"/>
      <c r="G118" s="389"/>
      <c r="H118" s="389"/>
      <c r="L118" s="197"/>
    </row>
    <row r="119" spans="2:63" s="198" customFormat="1" ht="12" customHeight="1" x14ac:dyDescent="0.2">
      <c r="B119" s="197"/>
      <c r="C119" s="196" t="s">
        <v>276</v>
      </c>
      <c r="L119" s="197"/>
    </row>
    <row r="120" spans="2:63" s="198" customFormat="1" ht="16.5" customHeight="1" x14ac:dyDescent="0.2">
      <c r="B120" s="197"/>
      <c r="E120" s="386" t="str">
        <f>E9</f>
        <v>1. - TPS - Silnoproud</v>
      </c>
      <c r="F120" s="387"/>
      <c r="G120" s="387"/>
      <c r="H120" s="387"/>
      <c r="L120" s="197"/>
    </row>
    <row r="121" spans="2:63" s="198" customFormat="1" ht="6.95" customHeight="1" x14ac:dyDescent="0.2">
      <c r="B121" s="197"/>
      <c r="L121" s="197"/>
    </row>
    <row r="122" spans="2:63" s="198" customFormat="1" ht="12" customHeight="1" x14ac:dyDescent="0.2">
      <c r="B122" s="197"/>
      <c r="C122" s="196" t="s">
        <v>281</v>
      </c>
      <c r="F122" s="199" t="str">
        <f>F12</f>
        <v>Brno</v>
      </c>
      <c r="I122" s="196" t="s">
        <v>283</v>
      </c>
      <c r="J122" s="200" t="str">
        <f>IF(J12="","",J12)</f>
        <v>25. 10. 2025</v>
      </c>
      <c r="L122" s="197"/>
    </row>
    <row r="123" spans="2:63" s="198" customFormat="1" ht="6.95" customHeight="1" x14ac:dyDescent="0.2">
      <c r="B123" s="197"/>
      <c r="L123" s="197"/>
    </row>
    <row r="124" spans="2:63" s="198" customFormat="1" ht="15.2" customHeight="1" x14ac:dyDescent="0.2">
      <c r="B124" s="197"/>
      <c r="C124" s="196" t="s">
        <v>284</v>
      </c>
      <c r="F124" s="199" t="str">
        <f>E15</f>
        <v xml:space="preserve"> </v>
      </c>
      <c r="I124" s="196" t="s">
        <v>21</v>
      </c>
      <c r="J124" s="203" t="str">
        <f>E21</f>
        <v>Oldřich Střítecký</v>
      </c>
      <c r="L124" s="197"/>
    </row>
    <row r="125" spans="2:63" s="198" customFormat="1" ht="15.2" customHeight="1" x14ac:dyDescent="0.2">
      <c r="B125" s="197"/>
      <c r="C125" s="196" t="s">
        <v>20</v>
      </c>
      <c r="F125" s="199" t="str">
        <f>IF(E18="","",E18)</f>
        <v xml:space="preserve"> </v>
      </c>
      <c r="I125" s="196" t="s">
        <v>288</v>
      </c>
      <c r="J125" s="203" t="str">
        <f>E24</f>
        <v>PK Střítecký</v>
      </c>
      <c r="L125" s="197"/>
    </row>
    <row r="126" spans="2:63" s="198" customFormat="1" ht="10.35" customHeight="1" x14ac:dyDescent="0.2">
      <c r="B126" s="197"/>
      <c r="L126" s="197"/>
    </row>
    <row r="127" spans="2:63" s="249" customFormat="1" ht="29.25" customHeight="1" x14ac:dyDescent="0.2">
      <c r="B127" s="241"/>
      <c r="C127" s="242" t="s">
        <v>323</v>
      </c>
      <c r="D127" s="243" t="s">
        <v>324</v>
      </c>
      <c r="E127" s="243" t="s">
        <v>325</v>
      </c>
      <c r="F127" s="243" t="s">
        <v>326</v>
      </c>
      <c r="G127" s="243" t="s">
        <v>96</v>
      </c>
      <c r="H127" s="243" t="s">
        <v>97</v>
      </c>
      <c r="I127" s="243" t="s">
        <v>327</v>
      </c>
      <c r="J127" s="244" t="s">
        <v>308</v>
      </c>
      <c r="K127" s="245" t="s">
        <v>328</v>
      </c>
      <c r="L127" s="241"/>
      <c r="M127" s="246" t="s">
        <v>279</v>
      </c>
      <c r="N127" s="247" t="s">
        <v>101</v>
      </c>
      <c r="O127" s="247" t="s">
        <v>329</v>
      </c>
      <c r="P127" s="247" t="s">
        <v>330</v>
      </c>
      <c r="Q127" s="247" t="s">
        <v>331</v>
      </c>
      <c r="R127" s="247" t="s">
        <v>332</v>
      </c>
      <c r="S127" s="247" t="s">
        <v>333</v>
      </c>
      <c r="T127" s="248" t="s">
        <v>334</v>
      </c>
    </row>
    <row r="128" spans="2:63" s="198" customFormat="1" ht="22.9" customHeight="1" x14ac:dyDescent="0.25">
      <c r="B128" s="197"/>
      <c r="C128" s="250" t="s">
        <v>335</v>
      </c>
      <c r="J128" s="251">
        <f>SUM(J129,J163,J174)</f>
        <v>0</v>
      </c>
      <c r="L128" s="197"/>
      <c r="M128" s="252"/>
      <c r="N128" s="204"/>
      <c r="O128" s="204"/>
      <c r="P128" s="253" t="e">
        <f>P129+P163+P174</f>
        <v>#REF!</v>
      </c>
      <c r="Q128" s="204"/>
      <c r="R128" s="253" t="e">
        <f>R129+R163+R174</f>
        <v>#REF!</v>
      </c>
      <c r="S128" s="204"/>
      <c r="T128" s="254" t="e">
        <f>T129+T163+T174</f>
        <v>#REF!</v>
      </c>
      <c r="AT128" s="190" t="s">
        <v>336</v>
      </c>
      <c r="AU128" s="190" t="s">
        <v>310</v>
      </c>
      <c r="BK128" s="255" t="e">
        <f>BK129+BK163+BK174</f>
        <v>#REF!</v>
      </c>
    </row>
    <row r="129" spans="2:65" s="257" customFormat="1" ht="25.9" customHeight="1" x14ac:dyDescent="0.2">
      <c r="B129" s="256"/>
      <c r="D129" s="258" t="s">
        <v>336</v>
      </c>
      <c r="E129" s="259" t="s">
        <v>27</v>
      </c>
      <c r="F129" s="259" t="s">
        <v>337</v>
      </c>
      <c r="J129" s="260">
        <f>BK129</f>
        <v>0</v>
      </c>
      <c r="L129" s="256"/>
      <c r="M129" s="261"/>
      <c r="P129" s="262">
        <f>P130</f>
        <v>46.628999999999991</v>
      </c>
      <c r="R129" s="262">
        <f>R130</f>
        <v>6.7510000000000001E-2</v>
      </c>
      <c r="T129" s="263">
        <f>T130</f>
        <v>3.1012000000000001E-2</v>
      </c>
      <c r="AR129" s="258" t="s">
        <v>338</v>
      </c>
      <c r="AT129" s="264" t="s">
        <v>336</v>
      </c>
      <c r="AU129" s="264" t="s">
        <v>339</v>
      </c>
      <c r="AY129" s="258" t="s">
        <v>340</v>
      </c>
      <c r="BK129" s="265">
        <f>BK130</f>
        <v>0</v>
      </c>
    </row>
    <row r="130" spans="2:65" s="257" customFormat="1" ht="22.9" customHeight="1" x14ac:dyDescent="0.2">
      <c r="B130" s="256"/>
      <c r="D130" s="258" t="s">
        <v>336</v>
      </c>
      <c r="E130" s="266" t="s">
        <v>341</v>
      </c>
      <c r="F130" s="266" t="s">
        <v>342</v>
      </c>
      <c r="J130" s="267">
        <f>BK130</f>
        <v>0</v>
      </c>
      <c r="L130" s="256"/>
      <c r="M130" s="261"/>
      <c r="P130" s="262">
        <f>P131+SUM(P132:P135)+P146+P160</f>
        <v>46.628999999999991</v>
      </c>
      <c r="R130" s="262">
        <f>R131+SUM(R132:R135)+R146+R160</f>
        <v>6.7510000000000001E-2</v>
      </c>
      <c r="T130" s="263">
        <f>T131+SUM(T132:T135)+T146+T160</f>
        <v>3.1012000000000001E-2</v>
      </c>
      <c r="AR130" s="258" t="s">
        <v>338</v>
      </c>
      <c r="AT130" s="264" t="s">
        <v>336</v>
      </c>
      <c r="AU130" s="264" t="s">
        <v>338</v>
      </c>
      <c r="AY130" s="258" t="s">
        <v>340</v>
      </c>
      <c r="BK130" s="265">
        <f>BK131+SUM(BK132:BK135)+BK146+BK160</f>
        <v>0</v>
      </c>
    </row>
    <row r="131" spans="2:65" s="198" customFormat="1" ht="24.2" customHeight="1" x14ac:dyDescent="0.2">
      <c r="B131" s="268"/>
      <c r="C131" s="269" t="s">
        <v>338</v>
      </c>
      <c r="D131" s="269" t="s">
        <v>343</v>
      </c>
      <c r="E131" s="270" t="s">
        <v>344</v>
      </c>
      <c r="F131" s="271" t="s">
        <v>345</v>
      </c>
      <c r="G131" s="272" t="s">
        <v>238</v>
      </c>
      <c r="H131" s="273">
        <v>5</v>
      </c>
      <c r="I131" s="274"/>
      <c r="J131" s="274">
        <f>ROUND(I131*H131,2)</f>
        <v>0</v>
      </c>
      <c r="K131" s="275"/>
      <c r="L131" s="197"/>
      <c r="M131" s="276" t="s">
        <v>279</v>
      </c>
      <c r="N131" s="277" t="s">
        <v>295</v>
      </c>
      <c r="O131" s="278">
        <v>3.3000000000000002E-2</v>
      </c>
      <c r="P131" s="278">
        <f>O131*H131</f>
        <v>0.16500000000000001</v>
      </c>
      <c r="Q131" s="278">
        <v>0</v>
      </c>
      <c r="R131" s="278">
        <f>Q131*H131</f>
        <v>0</v>
      </c>
      <c r="S131" s="278">
        <v>2.0000000000000001E-4</v>
      </c>
      <c r="T131" s="279">
        <f>S131*H131</f>
        <v>1E-3</v>
      </c>
      <c r="AR131" s="280" t="s">
        <v>346</v>
      </c>
      <c r="AT131" s="280" t="s">
        <v>343</v>
      </c>
      <c r="AU131" s="280" t="s">
        <v>272</v>
      </c>
      <c r="AY131" s="190" t="s">
        <v>340</v>
      </c>
      <c r="BE131" s="281">
        <f>IF(N131="základní",J131,0)</f>
        <v>0</v>
      </c>
      <c r="BF131" s="281">
        <f>IF(N131="snížená",J131,0)</f>
        <v>0</v>
      </c>
      <c r="BG131" s="281">
        <f>IF(N131="zákl. přenesená",J131,0)</f>
        <v>0</v>
      </c>
      <c r="BH131" s="281">
        <f>IF(N131="sníž. přenesená",J131,0)</f>
        <v>0</v>
      </c>
      <c r="BI131" s="281">
        <f>IF(N131="nulová",J131,0)</f>
        <v>0</v>
      </c>
      <c r="BJ131" s="190" t="s">
        <v>338</v>
      </c>
      <c r="BK131" s="281">
        <f>ROUND(I131*H131,2)</f>
        <v>0</v>
      </c>
      <c r="BL131" s="190" t="s">
        <v>346</v>
      </c>
      <c r="BM131" s="280" t="s">
        <v>347</v>
      </c>
    </row>
    <row r="132" spans="2:65" s="198" customFormat="1" ht="44.25" customHeight="1" x14ac:dyDescent="0.2">
      <c r="B132" s="268"/>
      <c r="C132" s="269" t="s">
        <v>272</v>
      </c>
      <c r="D132" s="269" t="s">
        <v>343</v>
      </c>
      <c r="E132" s="270" t="s">
        <v>348</v>
      </c>
      <c r="F132" s="271" t="s">
        <v>349</v>
      </c>
      <c r="G132" s="272" t="s">
        <v>238</v>
      </c>
      <c r="H132" s="273">
        <v>55</v>
      </c>
      <c r="I132" s="274"/>
      <c r="J132" s="274">
        <f>ROUND(I132*H132,2)</f>
        <v>0</v>
      </c>
      <c r="K132" s="275"/>
      <c r="L132" s="197"/>
      <c r="M132" s="276" t="s">
        <v>279</v>
      </c>
      <c r="N132" s="277" t="s">
        <v>295</v>
      </c>
      <c r="O132" s="278">
        <v>2.8000000000000001E-2</v>
      </c>
      <c r="P132" s="278">
        <f>O132*H132</f>
        <v>1.54</v>
      </c>
      <c r="Q132" s="278">
        <v>0</v>
      </c>
      <c r="R132" s="278">
        <f>Q132*H132</f>
        <v>0</v>
      </c>
      <c r="S132" s="278">
        <v>4.8000000000000001E-4</v>
      </c>
      <c r="T132" s="279">
        <f>S132*H132</f>
        <v>2.64E-2</v>
      </c>
      <c r="AR132" s="280" t="s">
        <v>346</v>
      </c>
      <c r="AT132" s="280" t="s">
        <v>343</v>
      </c>
      <c r="AU132" s="280" t="s">
        <v>272</v>
      </c>
      <c r="AY132" s="190" t="s">
        <v>340</v>
      </c>
      <c r="BE132" s="281">
        <f>IF(N132="základní",J132,0)</f>
        <v>0</v>
      </c>
      <c r="BF132" s="281">
        <f>IF(N132="snížená",J132,0)</f>
        <v>0</v>
      </c>
      <c r="BG132" s="281">
        <f>IF(N132="zákl. přenesená",J132,0)</f>
        <v>0</v>
      </c>
      <c r="BH132" s="281">
        <f>IF(N132="sníž. přenesená",J132,0)</f>
        <v>0</v>
      </c>
      <c r="BI132" s="281">
        <f>IF(N132="nulová",J132,0)</f>
        <v>0</v>
      </c>
      <c r="BJ132" s="190" t="s">
        <v>338</v>
      </c>
      <c r="BK132" s="281">
        <f>ROUND(I132*H132,2)</f>
        <v>0</v>
      </c>
      <c r="BL132" s="190" t="s">
        <v>346</v>
      </c>
      <c r="BM132" s="280" t="s">
        <v>350</v>
      </c>
    </row>
    <row r="133" spans="2:65" s="198" customFormat="1" ht="33" customHeight="1" x14ac:dyDescent="0.2">
      <c r="B133" s="268"/>
      <c r="C133" s="269" t="s">
        <v>351</v>
      </c>
      <c r="D133" s="269" t="s">
        <v>343</v>
      </c>
      <c r="E133" s="270" t="s">
        <v>352</v>
      </c>
      <c r="F133" s="271" t="s">
        <v>353</v>
      </c>
      <c r="G133" s="272" t="s">
        <v>151</v>
      </c>
      <c r="H133" s="273">
        <v>9</v>
      </c>
      <c r="I133" s="274"/>
      <c r="J133" s="274">
        <f>ROUND(I133*H133,2)</f>
        <v>0</v>
      </c>
      <c r="K133" s="275"/>
      <c r="L133" s="197"/>
      <c r="M133" s="276" t="s">
        <v>279</v>
      </c>
      <c r="N133" s="277" t="s">
        <v>295</v>
      </c>
      <c r="O133" s="278">
        <v>0.11799999999999999</v>
      </c>
      <c r="P133" s="278">
        <f>O133*H133</f>
        <v>1.0619999999999998</v>
      </c>
      <c r="Q133" s="278">
        <v>0</v>
      </c>
      <c r="R133" s="278">
        <f>Q133*H133</f>
        <v>0</v>
      </c>
      <c r="S133" s="278">
        <v>4.8000000000000001E-5</v>
      </c>
      <c r="T133" s="279">
        <f>S133*H133</f>
        <v>4.3199999999999998E-4</v>
      </c>
      <c r="AR133" s="280" t="s">
        <v>346</v>
      </c>
      <c r="AT133" s="280" t="s">
        <v>343</v>
      </c>
      <c r="AU133" s="280" t="s">
        <v>272</v>
      </c>
      <c r="AY133" s="190" t="s">
        <v>340</v>
      </c>
      <c r="BE133" s="281">
        <f>IF(N133="základní",J133,0)</f>
        <v>0</v>
      </c>
      <c r="BF133" s="281">
        <f>IF(N133="snížená",J133,0)</f>
        <v>0</v>
      </c>
      <c r="BG133" s="281">
        <f>IF(N133="zákl. přenesená",J133,0)</f>
        <v>0</v>
      </c>
      <c r="BH133" s="281">
        <f>IF(N133="sníž. přenesená",J133,0)</f>
        <v>0</v>
      </c>
      <c r="BI133" s="281">
        <f>IF(N133="nulová",J133,0)</f>
        <v>0</v>
      </c>
      <c r="BJ133" s="190" t="s">
        <v>338</v>
      </c>
      <c r="BK133" s="281">
        <f>ROUND(I133*H133,2)</f>
        <v>0</v>
      </c>
      <c r="BL133" s="190" t="s">
        <v>346</v>
      </c>
      <c r="BM133" s="280" t="s">
        <v>354</v>
      </c>
    </row>
    <row r="134" spans="2:65" s="198" customFormat="1" ht="33" customHeight="1" x14ac:dyDescent="0.2">
      <c r="B134" s="268"/>
      <c r="C134" s="269" t="s">
        <v>346</v>
      </c>
      <c r="D134" s="269" t="s">
        <v>343</v>
      </c>
      <c r="E134" s="270" t="s">
        <v>355</v>
      </c>
      <c r="F134" s="271" t="s">
        <v>356</v>
      </c>
      <c r="G134" s="272" t="s">
        <v>151</v>
      </c>
      <c r="H134" s="273">
        <v>10</v>
      </c>
      <c r="I134" s="274"/>
      <c r="J134" s="274">
        <f>ROUND(I134*H134,2)</f>
        <v>0</v>
      </c>
      <c r="K134" s="275"/>
      <c r="L134" s="197"/>
      <c r="M134" s="276" t="s">
        <v>279</v>
      </c>
      <c r="N134" s="277" t="s">
        <v>295</v>
      </c>
      <c r="O134" s="278">
        <v>6.2E-2</v>
      </c>
      <c r="P134" s="278">
        <f>O134*H134</f>
        <v>0.62</v>
      </c>
      <c r="Q134" s="278">
        <v>0</v>
      </c>
      <c r="R134" s="278">
        <f>Q134*H134</f>
        <v>0</v>
      </c>
      <c r="S134" s="278">
        <v>4.8000000000000001E-5</v>
      </c>
      <c r="T134" s="279">
        <f>S134*H134</f>
        <v>4.8000000000000001E-4</v>
      </c>
      <c r="AR134" s="280" t="s">
        <v>346</v>
      </c>
      <c r="AT134" s="280" t="s">
        <v>343</v>
      </c>
      <c r="AU134" s="280" t="s">
        <v>272</v>
      </c>
      <c r="AY134" s="190" t="s">
        <v>340</v>
      </c>
      <c r="BE134" s="281">
        <f>IF(N134="základní",J134,0)</f>
        <v>0</v>
      </c>
      <c r="BF134" s="281">
        <f>IF(N134="snížená",J134,0)</f>
        <v>0</v>
      </c>
      <c r="BG134" s="281">
        <f>IF(N134="zákl. přenesená",J134,0)</f>
        <v>0</v>
      </c>
      <c r="BH134" s="281">
        <f>IF(N134="sníž. přenesená",J134,0)</f>
        <v>0</v>
      </c>
      <c r="BI134" s="281">
        <f>IF(N134="nulová",J134,0)</f>
        <v>0</v>
      </c>
      <c r="BJ134" s="190" t="s">
        <v>338</v>
      </c>
      <c r="BK134" s="281">
        <f>ROUND(I134*H134,2)</f>
        <v>0</v>
      </c>
      <c r="BL134" s="190" t="s">
        <v>346</v>
      </c>
      <c r="BM134" s="280" t="s">
        <v>357</v>
      </c>
    </row>
    <row r="135" spans="2:65" s="257" customFormat="1" ht="20.85" customHeight="1" x14ac:dyDescent="0.2">
      <c r="B135" s="256"/>
      <c r="D135" s="258" t="s">
        <v>336</v>
      </c>
      <c r="E135" s="266" t="s">
        <v>358</v>
      </c>
      <c r="F135" s="266" t="s">
        <v>359</v>
      </c>
      <c r="J135" s="267">
        <f>BK135</f>
        <v>0</v>
      </c>
      <c r="L135" s="256"/>
      <c r="M135" s="261"/>
      <c r="P135" s="262">
        <f>SUM(P136:P145)</f>
        <v>30.533999999999995</v>
      </c>
      <c r="R135" s="262">
        <f>SUM(R136:R145)</f>
        <v>6.609000000000001E-2</v>
      </c>
      <c r="T135" s="263">
        <f>SUM(T136:T145)</f>
        <v>2.7000000000000001E-3</v>
      </c>
      <c r="AR135" s="258" t="s">
        <v>272</v>
      </c>
      <c r="AT135" s="264" t="s">
        <v>336</v>
      </c>
      <c r="AU135" s="264" t="s">
        <v>272</v>
      </c>
      <c r="AY135" s="258" t="s">
        <v>340</v>
      </c>
      <c r="BK135" s="265">
        <f>SUM(BK136:BK145)</f>
        <v>0</v>
      </c>
    </row>
    <row r="136" spans="2:65" s="198" customFormat="1" ht="24.2" customHeight="1" x14ac:dyDescent="0.2">
      <c r="B136" s="268"/>
      <c r="C136" s="269" t="s">
        <v>360</v>
      </c>
      <c r="D136" s="269" t="s">
        <v>343</v>
      </c>
      <c r="E136" s="270" t="s">
        <v>361</v>
      </c>
      <c r="F136" s="271" t="s">
        <v>362</v>
      </c>
      <c r="G136" s="272" t="s">
        <v>238</v>
      </c>
      <c r="H136" s="273">
        <v>117</v>
      </c>
      <c r="I136" s="274"/>
      <c r="J136" s="274">
        <f t="shared" ref="J136:J145" si="0">ROUND(I136*H136,2)</f>
        <v>0</v>
      </c>
      <c r="K136" s="275"/>
      <c r="L136" s="197"/>
      <c r="M136" s="276" t="s">
        <v>279</v>
      </c>
      <c r="N136" s="277" t="s">
        <v>295</v>
      </c>
      <c r="O136" s="278">
        <v>0.11</v>
      </c>
      <c r="P136" s="278">
        <f t="shared" ref="P136:P145" si="1">O136*H136</f>
        <v>12.87</v>
      </c>
      <c r="Q136" s="278">
        <v>0</v>
      </c>
      <c r="R136" s="278">
        <f t="shared" ref="R136:R145" si="2">Q136*H136</f>
        <v>0</v>
      </c>
      <c r="S136" s="278">
        <v>0</v>
      </c>
      <c r="T136" s="279">
        <f t="shared" ref="T136:T145" si="3">S136*H136</f>
        <v>0</v>
      </c>
      <c r="AR136" s="280" t="s">
        <v>363</v>
      </c>
      <c r="AT136" s="280" t="s">
        <v>343</v>
      </c>
      <c r="AU136" s="280" t="s">
        <v>351</v>
      </c>
      <c r="AY136" s="190" t="s">
        <v>340</v>
      </c>
      <c r="BE136" s="281">
        <f t="shared" ref="BE136:BE145" si="4">IF(N136="základní",J136,0)</f>
        <v>0</v>
      </c>
      <c r="BF136" s="281">
        <f t="shared" ref="BF136:BF145" si="5">IF(N136="snížená",J136,0)</f>
        <v>0</v>
      </c>
      <c r="BG136" s="281">
        <f t="shared" ref="BG136:BG145" si="6">IF(N136="zákl. přenesená",J136,0)</f>
        <v>0</v>
      </c>
      <c r="BH136" s="281">
        <f t="shared" ref="BH136:BH145" si="7">IF(N136="sníž. přenesená",J136,0)</f>
        <v>0</v>
      </c>
      <c r="BI136" s="281">
        <f t="shared" ref="BI136:BI145" si="8">IF(N136="nulová",J136,0)</f>
        <v>0</v>
      </c>
      <c r="BJ136" s="190" t="s">
        <v>338</v>
      </c>
      <c r="BK136" s="281">
        <f t="shared" ref="BK136:BK145" si="9">ROUND(I136*H136,2)</f>
        <v>0</v>
      </c>
      <c r="BL136" s="190" t="s">
        <v>363</v>
      </c>
      <c r="BM136" s="280" t="s">
        <v>364</v>
      </c>
    </row>
    <row r="137" spans="2:65" s="198" customFormat="1" ht="24.2" customHeight="1" x14ac:dyDescent="0.2">
      <c r="B137" s="268"/>
      <c r="C137" s="282" t="s">
        <v>365</v>
      </c>
      <c r="D137" s="282" t="s">
        <v>366</v>
      </c>
      <c r="E137" s="283" t="s">
        <v>367</v>
      </c>
      <c r="F137" s="284" t="s">
        <v>368</v>
      </c>
      <c r="G137" s="285" t="s">
        <v>238</v>
      </c>
      <c r="H137" s="286">
        <v>117</v>
      </c>
      <c r="I137" s="287"/>
      <c r="J137" s="287">
        <f t="shared" si="0"/>
        <v>0</v>
      </c>
      <c r="K137" s="288"/>
      <c r="L137" s="289"/>
      <c r="M137" s="290" t="s">
        <v>279</v>
      </c>
      <c r="N137" s="291" t="s">
        <v>295</v>
      </c>
      <c r="O137" s="278">
        <v>0</v>
      </c>
      <c r="P137" s="278">
        <f t="shared" si="1"/>
        <v>0</v>
      </c>
      <c r="Q137" s="278">
        <v>1.6000000000000001E-4</v>
      </c>
      <c r="R137" s="278">
        <f t="shared" si="2"/>
        <v>1.8720000000000001E-2</v>
      </c>
      <c r="S137" s="278">
        <v>0</v>
      </c>
      <c r="T137" s="279">
        <f t="shared" si="3"/>
        <v>0</v>
      </c>
      <c r="AR137" s="280" t="s">
        <v>369</v>
      </c>
      <c r="AT137" s="280" t="s">
        <v>366</v>
      </c>
      <c r="AU137" s="280" t="s">
        <v>351</v>
      </c>
      <c r="AY137" s="190" t="s">
        <v>340</v>
      </c>
      <c r="BE137" s="281">
        <f t="shared" si="4"/>
        <v>0</v>
      </c>
      <c r="BF137" s="281">
        <f t="shared" si="5"/>
        <v>0</v>
      </c>
      <c r="BG137" s="281">
        <f t="shared" si="6"/>
        <v>0</v>
      </c>
      <c r="BH137" s="281">
        <f t="shared" si="7"/>
        <v>0</v>
      </c>
      <c r="BI137" s="281">
        <f t="shared" si="8"/>
        <v>0</v>
      </c>
      <c r="BJ137" s="190" t="s">
        <v>338</v>
      </c>
      <c r="BK137" s="281">
        <f t="shared" si="9"/>
        <v>0</v>
      </c>
      <c r="BL137" s="190" t="s">
        <v>363</v>
      </c>
      <c r="BM137" s="280" t="s">
        <v>370</v>
      </c>
    </row>
    <row r="138" spans="2:65" s="198" customFormat="1" ht="24.2" customHeight="1" x14ac:dyDescent="0.2">
      <c r="B138" s="268"/>
      <c r="C138" s="269" t="s">
        <v>371</v>
      </c>
      <c r="D138" s="269" t="s">
        <v>343</v>
      </c>
      <c r="E138" s="270" t="s">
        <v>372</v>
      </c>
      <c r="F138" s="271" t="s">
        <v>373</v>
      </c>
      <c r="G138" s="272" t="s">
        <v>238</v>
      </c>
      <c r="H138" s="273">
        <v>10</v>
      </c>
      <c r="I138" s="274"/>
      <c r="J138" s="274">
        <f t="shared" si="0"/>
        <v>0</v>
      </c>
      <c r="K138" s="275"/>
      <c r="L138" s="197"/>
      <c r="M138" s="276" t="s">
        <v>279</v>
      </c>
      <c r="N138" s="277" t="s">
        <v>295</v>
      </c>
      <c r="O138" s="278">
        <v>7.3999999999999996E-2</v>
      </c>
      <c r="P138" s="278">
        <f t="shared" si="1"/>
        <v>0.74</v>
      </c>
      <c r="Q138" s="278">
        <v>0</v>
      </c>
      <c r="R138" s="278">
        <f t="shared" si="2"/>
        <v>0</v>
      </c>
      <c r="S138" s="278">
        <v>2.7E-4</v>
      </c>
      <c r="T138" s="279">
        <f t="shared" si="3"/>
        <v>2.7000000000000001E-3</v>
      </c>
      <c r="AR138" s="280" t="s">
        <v>363</v>
      </c>
      <c r="AT138" s="280" t="s">
        <v>343</v>
      </c>
      <c r="AU138" s="280" t="s">
        <v>351</v>
      </c>
      <c r="AY138" s="190" t="s">
        <v>340</v>
      </c>
      <c r="BE138" s="281">
        <f t="shared" si="4"/>
        <v>0</v>
      </c>
      <c r="BF138" s="281">
        <f t="shared" si="5"/>
        <v>0</v>
      </c>
      <c r="BG138" s="281">
        <f t="shared" si="6"/>
        <v>0</v>
      </c>
      <c r="BH138" s="281">
        <f t="shared" si="7"/>
        <v>0</v>
      </c>
      <c r="BI138" s="281">
        <f t="shared" si="8"/>
        <v>0</v>
      </c>
      <c r="BJ138" s="190" t="s">
        <v>338</v>
      </c>
      <c r="BK138" s="281">
        <f t="shared" si="9"/>
        <v>0</v>
      </c>
      <c r="BL138" s="190" t="s">
        <v>363</v>
      </c>
      <c r="BM138" s="280" t="s">
        <v>374</v>
      </c>
    </row>
    <row r="139" spans="2:65" s="198" customFormat="1" ht="24.2" customHeight="1" x14ac:dyDescent="0.2">
      <c r="B139" s="268"/>
      <c r="C139" s="269" t="s">
        <v>375</v>
      </c>
      <c r="D139" s="269" t="s">
        <v>343</v>
      </c>
      <c r="E139" s="270" t="s">
        <v>376</v>
      </c>
      <c r="F139" s="271" t="s">
        <v>377</v>
      </c>
      <c r="G139" s="272" t="s">
        <v>238</v>
      </c>
      <c r="H139" s="273">
        <v>311</v>
      </c>
      <c r="I139" s="274"/>
      <c r="J139" s="274">
        <f t="shared" si="0"/>
        <v>0</v>
      </c>
      <c r="K139" s="275"/>
      <c r="L139" s="197"/>
      <c r="M139" s="276" t="s">
        <v>279</v>
      </c>
      <c r="N139" s="277" t="s">
        <v>295</v>
      </c>
      <c r="O139" s="278">
        <v>4.5999999999999999E-2</v>
      </c>
      <c r="P139" s="278">
        <f t="shared" si="1"/>
        <v>14.305999999999999</v>
      </c>
      <c r="Q139" s="278">
        <v>0</v>
      </c>
      <c r="R139" s="278">
        <f t="shared" si="2"/>
        <v>0</v>
      </c>
      <c r="S139" s="278">
        <v>0</v>
      </c>
      <c r="T139" s="279">
        <f t="shared" si="3"/>
        <v>0</v>
      </c>
      <c r="AR139" s="280" t="s">
        <v>363</v>
      </c>
      <c r="AT139" s="280" t="s">
        <v>343</v>
      </c>
      <c r="AU139" s="280" t="s">
        <v>351</v>
      </c>
      <c r="AY139" s="190" t="s">
        <v>340</v>
      </c>
      <c r="BE139" s="281">
        <f t="shared" si="4"/>
        <v>0</v>
      </c>
      <c r="BF139" s="281">
        <f t="shared" si="5"/>
        <v>0</v>
      </c>
      <c r="BG139" s="281">
        <f t="shared" si="6"/>
        <v>0</v>
      </c>
      <c r="BH139" s="281">
        <f t="shared" si="7"/>
        <v>0</v>
      </c>
      <c r="BI139" s="281">
        <f t="shared" si="8"/>
        <v>0</v>
      </c>
      <c r="BJ139" s="190" t="s">
        <v>338</v>
      </c>
      <c r="BK139" s="281">
        <f t="shared" si="9"/>
        <v>0</v>
      </c>
      <c r="BL139" s="190" t="s">
        <v>363</v>
      </c>
      <c r="BM139" s="280" t="s">
        <v>378</v>
      </c>
    </row>
    <row r="140" spans="2:65" s="198" customFormat="1" ht="16.5" customHeight="1" x14ac:dyDescent="0.2">
      <c r="B140" s="268"/>
      <c r="C140" s="282" t="s">
        <v>379</v>
      </c>
      <c r="D140" s="282" t="s">
        <v>366</v>
      </c>
      <c r="E140" s="283" t="s">
        <v>380</v>
      </c>
      <c r="F140" s="284" t="s">
        <v>381</v>
      </c>
      <c r="G140" s="285" t="s">
        <v>238</v>
      </c>
      <c r="H140" s="286">
        <v>150</v>
      </c>
      <c r="I140" s="287"/>
      <c r="J140" s="287">
        <f t="shared" si="0"/>
        <v>0</v>
      </c>
      <c r="K140" s="288"/>
      <c r="L140" s="289"/>
      <c r="M140" s="290" t="s">
        <v>279</v>
      </c>
      <c r="N140" s="291" t="s">
        <v>295</v>
      </c>
      <c r="O140" s="278">
        <v>0</v>
      </c>
      <c r="P140" s="278">
        <f t="shared" si="1"/>
        <v>0</v>
      </c>
      <c r="Q140" s="278">
        <v>1.2E-4</v>
      </c>
      <c r="R140" s="278">
        <f t="shared" si="2"/>
        <v>1.8000000000000002E-2</v>
      </c>
      <c r="S140" s="278">
        <v>0</v>
      </c>
      <c r="T140" s="279">
        <f t="shared" si="3"/>
        <v>0</v>
      </c>
      <c r="AR140" s="280" t="s">
        <v>369</v>
      </c>
      <c r="AT140" s="280" t="s">
        <v>366</v>
      </c>
      <c r="AU140" s="280" t="s">
        <v>351</v>
      </c>
      <c r="AY140" s="190" t="s">
        <v>340</v>
      </c>
      <c r="BE140" s="281">
        <f t="shared" si="4"/>
        <v>0</v>
      </c>
      <c r="BF140" s="281">
        <f t="shared" si="5"/>
        <v>0</v>
      </c>
      <c r="BG140" s="281">
        <f t="shared" si="6"/>
        <v>0</v>
      </c>
      <c r="BH140" s="281">
        <f t="shared" si="7"/>
        <v>0</v>
      </c>
      <c r="BI140" s="281">
        <f t="shared" si="8"/>
        <v>0</v>
      </c>
      <c r="BJ140" s="190" t="s">
        <v>338</v>
      </c>
      <c r="BK140" s="281">
        <f t="shared" si="9"/>
        <v>0</v>
      </c>
      <c r="BL140" s="190" t="s">
        <v>363</v>
      </c>
      <c r="BM140" s="280" t="s">
        <v>382</v>
      </c>
    </row>
    <row r="141" spans="2:65" s="198" customFormat="1" ht="21.75" customHeight="1" x14ac:dyDescent="0.2">
      <c r="B141" s="268"/>
      <c r="C141" s="282" t="s">
        <v>383</v>
      </c>
      <c r="D141" s="282" t="s">
        <v>366</v>
      </c>
      <c r="E141" s="283" t="s">
        <v>384</v>
      </c>
      <c r="F141" s="284" t="s">
        <v>385</v>
      </c>
      <c r="G141" s="285" t="s">
        <v>238</v>
      </c>
      <c r="H141" s="286">
        <v>50</v>
      </c>
      <c r="I141" s="287"/>
      <c r="J141" s="287">
        <f t="shared" si="0"/>
        <v>0</v>
      </c>
      <c r="K141" s="288"/>
      <c r="L141" s="289"/>
      <c r="M141" s="290" t="s">
        <v>279</v>
      </c>
      <c r="N141" s="291" t="s">
        <v>295</v>
      </c>
      <c r="O141" s="278">
        <v>0</v>
      </c>
      <c r="P141" s="278">
        <f t="shared" si="1"/>
        <v>0</v>
      </c>
      <c r="Q141" s="278">
        <v>1.2E-4</v>
      </c>
      <c r="R141" s="278">
        <f t="shared" si="2"/>
        <v>6.0000000000000001E-3</v>
      </c>
      <c r="S141" s="278">
        <v>0</v>
      </c>
      <c r="T141" s="279">
        <f t="shared" si="3"/>
        <v>0</v>
      </c>
      <c r="AR141" s="280" t="s">
        <v>369</v>
      </c>
      <c r="AT141" s="280" t="s">
        <v>366</v>
      </c>
      <c r="AU141" s="280" t="s">
        <v>351</v>
      </c>
      <c r="AY141" s="190" t="s">
        <v>340</v>
      </c>
      <c r="BE141" s="281">
        <f t="shared" si="4"/>
        <v>0</v>
      </c>
      <c r="BF141" s="281">
        <f t="shared" si="5"/>
        <v>0</v>
      </c>
      <c r="BG141" s="281">
        <f t="shared" si="6"/>
        <v>0</v>
      </c>
      <c r="BH141" s="281">
        <f t="shared" si="7"/>
        <v>0</v>
      </c>
      <c r="BI141" s="281">
        <f t="shared" si="8"/>
        <v>0</v>
      </c>
      <c r="BJ141" s="190" t="s">
        <v>338</v>
      </c>
      <c r="BK141" s="281">
        <f t="shared" si="9"/>
        <v>0</v>
      </c>
      <c r="BL141" s="190" t="s">
        <v>363</v>
      </c>
      <c r="BM141" s="280" t="s">
        <v>386</v>
      </c>
    </row>
    <row r="142" spans="2:65" s="198" customFormat="1" ht="16.5" customHeight="1" x14ac:dyDescent="0.2">
      <c r="B142" s="268"/>
      <c r="C142" s="282" t="s">
        <v>387</v>
      </c>
      <c r="D142" s="282" t="s">
        <v>366</v>
      </c>
      <c r="E142" s="283" t="s">
        <v>388</v>
      </c>
      <c r="F142" s="284" t="s">
        <v>389</v>
      </c>
      <c r="G142" s="285" t="s">
        <v>238</v>
      </c>
      <c r="H142" s="286">
        <v>111</v>
      </c>
      <c r="I142" s="287"/>
      <c r="J142" s="287">
        <f t="shared" si="0"/>
        <v>0</v>
      </c>
      <c r="K142" s="288"/>
      <c r="L142" s="289"/>
      <c r="M142" s="290" t="s">
        <v>279</v>
      </c>
      <c r="N142" s="291" t="s">
        <v>295</v>
      </c>
      <c r="O142" s="278">
        <v>0</v>
      </c>
      <c r="P142" s="278">
        <f t="shared" si="1"/>
        <v>0</v>
      </c>
      <c r="Q142" s="278">
        <v>1.7000000000000001E-4</v>
      </c>
      <c r="R142" s="278">
        <f t="shared" si="2"/>
        <v>1.8870000000000001E-2</v>
      </c>
      <c r="S142" s="278">
        <v>0</v>
      </c>
      <c r="T142" s="279">
        <f t="shared" si="3"/>
        <v>0</v>
      </c>
      <c r="AR142" s="280" t="s">
        <v>369</v>
      </c>
      <c r="AT142" s="280" t="s">
        <v>366</v>
      </c>
      <c r="AU142" s="280" t="s">
        <v>351</v>
      </c>
      <c r="AY142" s="190" t="s">
        <v>340</v>
      </c>
      <c r="BE142" s="281">
        <f t="shared" si="4"/>
        <v>0</v>
      </c>
      <c r="BF142" s="281">
        <f t="shared" si="5"/>
        <v>0</v>
      </c>
      <c r="BG142" s="281">
        <f t="shared" si="6"/>
        <v>0</v>
      </c>
      <c r="BH142" s="281">
        <f t="shared" si="7"/>
        <v>0</v>
      </c>
      <c r="BI142" s="281">
        <f t="shared" si="8"/>
        <v>0</v>
      </c>
      <c r="BJ142" s="190" t="s">
        <v>338</v>
      </c>
      <c r="BK142" s="281">
        <f t="shared" si="9"/>
        <v>0</v>
      </c>
      <c r="BL142" s="190" t="s">
        <v>363</v>
      </c>
      <c r="BM142" s="280" t="s">
        <v>390</v>
      </c>
    </row>
    <row r="143" spans="2:65" s="198" customFormat="1" ht="16.5" customHeight="1" x14ac:dyDescent="0.2">
      <c r="B143" s="268"/>
      <c r="C143" s="269" t="s">
        <v>391</v>
      </c>
      <c r="D143" s="269" t="s">
        <v>343</v>
      </c>
      <c r="E143" s="270" t="s">
        <v>392</v>
      </c>
      <c r="F143" s="271" t="s">
        <v>393</v>
      </c>
      <c r="G143" s="272" t="s">
        <v>238</v>
      </c>
      <c r="H143" s="273">
        <v>25</v>
      </c>
      <c r="I143" s="274"/>
      <c r="J143" s="274">
        <f t="shared" si="0"/>
        <v>0</v>
      </c>
      <c r="K143" s="275"/>
      <c r="L143" s="197"/>
      <c r="M143" s="276" t="s">
        <v>279</v>
      </c>
      <c r="N143" s="277" t="s">
        <v>295</v>
      </c>
      <c r="O143" s="278">
        <v>6.8000000000000005E-2</v>
      </c>
      <c r="P143" s="278">
        <f t="shared" si="1"/>
        <v>1.7000000000000002</v>
      </c>
      <c r="Q143" s="278">
        <v>0</v>
      </c>
      <c r="R143" s="278">
        <f t="shared" si="2"/>
        <v>0</v>
      </c>
      <c r="S143" s="278">
        <v>0</v>
      </c>
      <c r="T143" s="279">
        <f t="shared" si="3"/>
        <v>0</v>
      </c>
      <c r="AR143" s="280" t="s">
        <v>363</v>
      </c>
      <c r="AT143" s="280" t="s">
        <v>343</v>
      </c>
      <c r="AU143" s="280" t="s">
        <v>351</v>
      </c>
      <c r="AY143" s="190" t="s">
        <v>340</v>
      </c>
      <c r="BE143" s="281">
        <f t="shared" si="4"/>
        <v>0</v>
      </c>
      <c r="BF143" s="281">
        <f t="shared" si="5"/>
        <v>0</v>
      </c>
      <c r="BG143" s="281">
        <f t="shared" si="6"/>
        <v>0</v>
      </c>
      <c r="BH143" s="281">
        <f t="shared" si="7"/>
        <v>0</v>
      </c>
      <c r="BI143" s="281">
        <f t="shared" si="8"/>
        <v>0</v>
      </c>
      <c r="BJ143" s="190" t="s">
        <v>338</v>
      </c>
      <c r="BK143" s="281">
        <f t="shared" si="9"/>
        <v>0</v>
      </c>
      <c r="BL143" s="190" t="s">
        <v>363</v>
      </c>
      <c r="BM143" s="280" t="s">
        <v>394</v>
      </c>
    </row>
    <row r="144" spans="2:65" s="198" customFormat="1" ht="16.5" customHeight="1" x14ac:dyDescent="0.2">
      <c r="B144" s="268"/>
      <c r="C144" s="282" t="s">
        <v>395</v>
      </c>
      <c r="D144" s="282" t="s">
        <v>366</v>
      </c>
      <c r="E144" s="283" t="s">
        <v>396</v>
      </c>
      <c r="F144" s="284" t="s">
        <v>397</v>
      </c>
      <c r="G144" s="285" t="s">
        <v>238</v>
      </c>
      <c r="H144" s="286">
        <v>25</v>
      </c>
      <c r="I144" s="287"/>
      <c r="J144" s="287">
        <f t="shared" si="0"/>
        <v>0</v>
      </c>
      <c r="K144" s="288"/>
      <c r="L144" s="289"/>
      <c r="M144" s="290" t="s">
        <v>279</v>
      </c>
      <c r="N144" s="291" t="s">
        <v>295</v>
      </c>
      <c r="O144" s="278">
        <v>0</v>
      </c>
      <c r="P144" s="278">
        <f t="shared" si="1"/>
        <v>0</v>
      </c>
      <c r="Q144" s="278">
        <v>1.8000000000000001E-4</v>
      </c>
      <c r="R144" s="278">
        <f t="shared" si="2"/>
        <v>4.5000000000000005E-3</v>
      </c>
      <c r="S144" s="278">
        <v>0</v>
      </c>
      <c r="T144" s="279">
        <f t="shared" si="3"/>
        <v>0</v>
      </c>
      <c r="AR144" s="280" t="s">
        <v>369</v>
      </c>
      <c r="AT144" s="280" t="s">
        <v>366</v>
      </c>
      <c r="AU144" s="280" t="s">
        <v>351</v>
      </c>
      <c r="AY144" s="190" t="s">
        <v>340</v>
      </c>
      <c r="BE144" s="281">
        <f t="shared" si="4"/>
        <v>0</v>
      </c>
      <c r="BF144" s="281">
        <f t="shared" si="5"/>
        <v>0</v>
      </c>
      <c r="BG144" s="281">
        <f t="shared" si="6"/>
        <v>0</v>
      </c>
      <c r="BH144" s="281">
        <f t="shared" si="7"/>
        <v>0</v>
      </c>
      <c r="BI144" s="281">
        <f t="shared" si="8"/>
        <v>0</v>
      </c>
      <c r="BJ144" s="190" t="s">
        <v>338</v>
      </c>
      <c r="BK144" s="281">
        <f t="shared" si="9"/>
        <v>0</v>
      </c>
      <c r="BL144" s="190" t="s">
        <v>363</v>
      </c>
      <c r="BM144" s="280" t="s">
        <v>398</v>
      </c>
    </row>
    <row r="145" spans="2:65" s="198" customFormat="1" ht="24.2" customHeight="1" x14ac:dyDescent="0.2">
      <c r="B145" s="268"/>
      <c r="C145" s="269" t="s">
        <v>399</v>
      </c>
      <c r="D145" s="269" t="s">
        <v>343</v>
      </c>
      <c r="E145" s="270" t="s">
        <v>400</v>
      </c>
      <c r="F145" s="271" t="s">
        <v>401</v>
      </c>
      <c r="G145" s="272" t="s">
        <v>151</v>
      </c>
      <c r="H145" s="273">
        <v>18</v>
      </c>
      <c r="I145" s="274"/>
      <c r="J145" s="274">
        <f t="shared" si="0"/>
        <v>0</v>
      </c>
      <c r="K145" s="275"/>
      <c r="L145" s="197"/>
      <c r="M145" s="276" t="s">
        <v>279</v>
      </c>
      <c r="N145" s="277" t="s">
        <v>295</v>
      </c>
      <c r="O145" s="278">
        <v>5.0999999999999997E-2</v>
      </c>
      <c r="P145" s="278">
        <f t="shared" si="1"/>
        <v>0.91799999999999993</v>
      </c>
      <c r="Q145" s="278">
        <v>0</v>
      </c>
      <c r="R145" s="278">
        <f t="shared" si="2"/>
        <v>0</v>
      </c>
      <c r="S145" s="278">
        <v>0</v>
      </c>
      <c r="T145" s="279">
        <f t="shared" si="3"/>
        <v>0</v>
      </c>
      <c r="AR145" s="280" t="s">
        <v>363</v>
      </c>
      <c r="AT145" s="280" t="s">
        <v>343</v>
      </c>
      <c r="AU145" s="280" t="s">
        <v>351</v>
      </c>
      <c r="AY145" s="190" t="s">
        <v>340</v>
      </c>
      <c r="BE145" s="281">
        <f t="shared" si="4"/>
        <v>0</v>
      </c>
      <c r="BF145" s="281">
        <f t="shared" si="5"/>
        <v>0</v>
      </c>
      <c r="BG145" s="281">
        <f t="shared" si="6"/>
        <v>0</v>
      </c>
      <c r="BH145" s="281">
        <f t="shared" si="7"/>
        <v>0</v>
      </c>
      <c r="BI145" s="281">
        <f t="shared" si="8"/>
        <v>0</v>
      </c>
      <c r="BJ145" s="190" t="s">
        <v>338</v>
      </c>
      <c r="BK145" s="281">
        <f t="shared" si="9"/>
        <v>0</v>
      </c>
      <c r="BL145" s="190" t="s">
        <v>363</v>
      </c>
      <c r="BM145" s="280" t="s">
        <v>402</v>
      </c>
    </row>
    <row r="146" spans="2:65" s="257" customFormat="1" ht="20.85" customHeight="1" x14ac:dyDescent="0.2">
      <c r="B146" s="256"/>
      <c r="D146" s="258" t="s">
        <v>336</v>
      </c>
      <c r="E146" s="266" t="s">
        <v>403</v>
      </c>
      <c r="F146" s="266" t="s">
        <v>404</v>
      </c>
      <c r="J146" s="267">
        <f>BK146</f>
        <v>0</v>
      </c>
      <c r="L146" s="256"/>
      <c r="M146" s="261"/>
      <c r="P146" s="262">
        <f>SUM(P147:P159)</f>
        <v>11.3</v>
      </c>
      <c r="R146" s="262">
        <f>SUM(R147:R159)</f>
        <v>1.0200000000000001E-3</v>
      </c>
      <c r="T146" s="263">
        <f>SUM(T147:T159)</f>
        <v>0</v>
      </c>
      <c r="AR146" s="258" t="s">
        <v>272</v>
      </c>
      <c r="AT146" s="264" t="s">
        <v>336</v>
      </c>
      <c r="AU146" s="264" t="s">
        <v>272</v>
      </c>
      <c r="AY146" s="258" t="s">
        <v>340</v>
      </c>
      <c r="BK146" s="265">
        <f>SUM(BK147:BK159)</f>
        <v>0</v>
      </c>
    </row>
    <row r="147" spans="2:65" s="198" customFormat="1" ht="21.75" customHeight="1" x14ac:dyDescent="0.2">
      <c r="B147" s="268"/>
      <c r="C147" s="269" t="s">
        <v>405</v>
      </c>
      <c r="D147" s="269" t="s">
        <v>343</v>
      </c>
      <c r="E147" s="270" t="s">
        <v>406</v>
      </c>
      <c r="F147" s="271" t="s">
        <v>407</v>
      </c>
      <c r="G147" s="272" t="s">
        <v>151</v>
      </c>
      <c r="H147" s="273">
        <v>10</v>
      </c>
      <c r="I147" s="274"/>
      <c r="J147" s="274">
        <f t="shared" ref="J147:J159" si="10">ROUND(I147*H147,2)</f>
        <v>0</v>
      </c>
      <c r="K147" s="275"/>
      <c r="L147" s="197"/>
      <c r="M147" s="276" t="s">
        <v>279</v>
      </c>
      <c r="N147" s="277" t="s">
        <v>295</v>
      </c>
      <c r="O147" s="278">
        <v>9.0999999999999998E-2</v>
      </c>
      <c r="P147" s="278">
        <f t="shared" ref="P147:P159" si="11">O147*H147</f>
        <v>0.90999999999999992</v>
      </c>
      <c r="Q147" s="278">
        <v>0</v>
      </c>
      <c r="R147" s="278">
        <f t="shared" ref="R147:R159" si="12">Q147*H147</f>
        <v>0</v>
      </c>
      <c r="S147" s="278">
        <v>0</v>
      </c>
      <c r="T147" s="279">
        <f t="shared" ref="T147:T159" si="13">S147*H147</f>
        <v>0</v>
      </c>
      <c r="AR147" s="280" t="s">
        <v>363</v>
      </c>
      <c r="AT147" s="280" t="s">
        <v>343</v>
      </c>
      <c r="AU147" s="280" t="s">
        <v>351</v>
      </c>
      <c r="AY147" s="190" t="s">
        <v>340</v>
      </c>
      <c r="BE147" s="281">
        <f t="shared" ref="BE147:BE159" si="14">IF(N147="základní",J147,0)</f>
        <v>0</v>
      </c>
      <c r="BF147" s="281">
        <f t="shared" ref="BF147:BF159" si="15">IF(N147="snížená",J147,0)</f>
        <v>0</v>
      </c>
      <c r="BG147" s="281">
        <f t="shared" ref="BG147:BG159" si="16">IF(N147="zákl. přenesená",J147,0)</f>
        <v>0</v>
      </c>
      <c r="BH147" s="281">
        <f t="shared" ref="BH147:BH159" si="17">IF(N147="sníž. přenesená",J147,0)</f>
        <v>0</v>
      </c>
      <c r="BI147" s="281">
        <f t="shared" ref="BI147:BI159" si="18">IF(N147="nulová",J147,0)</f>
        <v>0</v>
      </c>
      <c r="BJ147" s="190" t="s">
        <v>338</v>
      </c>
      <c r="BK147" s="281">
        <f t="shared" ref="BK147:BK159" si="19">ROUND(I147*H147,2)</f>
        <v>0</v>
      </c>
      <c r="BL147" s="190" t="s">
        <v>363</v>
      </c>
      <c r="BM147" s="280" t="s">
        <v>408</v>
      </c>
    </row>
    <row r="148" spans="2:65" s="198" customFormat="1" ht="21.75" customHeight="1" x14ac:dyDescent="0.2">
      <c r="B148" s="268"/>
      <c r="C148" s="282" t="s">
        <v>363</v>
      </c>
      <c r="D148" s="282" t="s">
        <v>366</v>
      </c>
      <c r="E148" s="283" t="s">
        <v>409</v>
      </c>
      <c r="F148" s="284" t="s">
        <v>410</v>
      </c>
      <c r="G148" s="285" t="s">
        <v>151</v>
      </c>
      <c r="H148" s="286">
        <v>2</v>
      </c>
      <c r="I148" s="287"/>
      <c r="J148" s="287">
        <f t="shared" si="10"/>
        <v>0</v>
      </c>
      <c r="K148" s="288"/>
      <c r="L148" s="289"/>
      <c r="M148" s="290" t="s">
        <v>279</v>
      </c>
      <c r="N148" s="291" t="s">
        <v>295</v>
      </c>
      <c r="O148" s="278">
        <v>0</v>
      </c>
      <c r="P148" s="278">
        <f t="shared" si="11"/>
        <v>0</v>
      </c>
      <c r="Q148" s="278">
        <v>4.0000000000000003E-5</v>
      </c>
      <c r="R148" s="278">
        <f t="shared" si="12"/>
        <v>8.0000000000000007E-5</v>
      </c>
      <c r="S148" s="278">
        <v>0</v>
      </c>
      <c r="T148" s="279">
        <f t="shared" si="13"/>
        <v>0</v>
      </c>
      <c r="AR148" s="280" t="s">
        <v>369</v>
      </c>
      <c r="AT148" s="280" t="s">
        <v>366</v>
      </c>
      <c r="AU148" s="280" t="s">
        <v>351</v>
      </c>
      <c r="AY148" s="190" t="s">
        <v>340</v>
      </c>
      <c r="BE148" s="281">
        <f t="shared" si="14"/>
        <v>0</v>
      </c>
      <c r="BF148" s="281">
        <f t="shared" si="15"/>
        <v>0</v>
      </c>
      <c r="BG148" s="281">
        <f t="shared" si="16"/>
        <v>0</v>
      </c>
      <c r="BH148" s="281">
        <f t="shared" si="17"/>
        <v>0</v>
      </c>
      <c r="BI148" s="281">
        <f t="shared" si="18"/>
        <v>0</v>
      </c>
      <c r="BJ148" s="190" t="s">
        <v>338</v>
      </c>
      <c r="BK148" s="281">
        <f t="shared" si="19"/>
        <v>0</v>
      </c>
      <c r="BL148" s="190" t="s">
        <v>363</v>
      </c>
      <c r="BM148" s="280" t="s">
        <v>411</v>
      </c>
    </row>
    <row r="149" spans="2:65" s="198" customFormat="1" ht="24.2" customHeight="1" x14ac:dyDescent="0.2">
      <c r="B149" s="268"/>
      <c r="C149" s="282" t="s">
        <v>412</v>
      </c>
      <c r="D149" s="282" t="s">
        <v>366</v>
      </c>
      <c r="E149" s="283" t="s">
        <v>413</v>
      </c>
      <c r="F149" s="284" t="s">
        <v>414</v>
      </c>
      <c r="G149" s="285" t="s">
        <v>151</v>
      </c>
      <c r="H149" s="286">
        <v>8</v>
      </c>
      <c r="I149" s="287"/>
      <c r="J149" s="287">
        <f t="shared" si="10"/>
        <v>0</v>
      </c>
      <c r="K149" s="288"/>
      <c r="L149" s="289"/>
      <c r="M149" s="290" t="s">
        <v>279</v>
      </c>
      <c r="N149" s="291" t="s">
        <v>295</v>
      </c>
      <c r="O149" s="278">
        <v>0</v>
      </c>
      <c r="P149" s="278">
        <f t="shared" si="11"/>
        <v>0</v>
      </c>
      <c r="Q149" s="278">
        <v>5.0000000000000002E-5</v>
      </c>
      <c r="R149" s="278">
        <f t="shared" si="12"/>
        <v>4.0000000000000002E-4</v>
      </c>
      <c r="S149" s="278">
        <v>0</v>
      </c>
      <c r="T149" s="279">
        <f t="shared" si="13"/>
        <v>0</v>
      </c>
      <c r="AR149" s="280" t="s">
        <v>369</v>
      </c>
      <c r="AT149" s="280" t="s">
        <v>366</v>
      </c>
      <c r="AU149" s="280" t="s">
        <v>351</v>
      </c>
      <c r="AY149" s="190" t="s">
        <v>340</v>
      </c>
      <c r="BE149" s="281">
        <f t="shared" si="14"/>
        <v>0</v>
      </c>
      <c r="BF149" s="281">
        <f t="shared" si="15"/>
        <v>0</v>
      </c>
      <c r="BG149" s="281">
        <f t="shared" si="16"/>
        <v>0</v>
      </c>
      <c r="BH149" s="281">
        <f t="shared" si="17"/>
        <v>0</v>
      </c>
      <c r="BI149" s="281">
        <f t="shared" si="18"/>
        <v>0</v>
      </c>
      <c r="BJ149" s="190" t="s">
        <v>338</v>
      </c>
      <c r="BK149" s="281">
        <f t="shared" si="19"/>
        <v>0</v>
      </c>
      <c r="BL149" s="190" t="s">
        <v>363</v>
      </c>
      <c r="BM149" s="280" t="s">
        <v>415</v>
      </c>
    </row>
    <row r="150" spans="2:65" s="198" customFormat="1" ht="24.2" customHeight="1" x14ac:dyDescent="0.2">
      <c r="B150" s="268"/>
      <c r="C150" s="269" t="s">
        <v>416</v>
      </c>
      <c r="D150" s="269" t="s">
        <v>343</v>
      </c>
      <c r="E150" s="270" t="s">
        <v>417</v>
      </c>
      <c r="F150" s="271" t="s">
        <v>418</v>
      </c>
      <c r="G150" s="272" t="s">
        <v>151</v>
      </c>
      <c r="H150" s="273">
        <v>1</v>
      </c>
      <c r="I150" s="274"/>
      <c r="J150" s="274">
        <f t="shared" si="10"/>
        <v>0</v>
      </c>
      <c r="K150" s="275"/>
      <c r="L150" s="197"/>
      <c r="M150" s="276" t="s">
        <v>279</v>
      </c>
      <c r="N150" s="277" t="s">
        <v>295</v>
      </c>
      <c r="O150" s="278">
        <v>0.154</v>
      </c>
      <c r="P150" s="278">
        <f t="shared" si="11"/>
        <v>0.154</v>
      </c>
      <c r="Q150" s="278">
        <v>0</v>
      </c>
      <c r="R150" s="278">
        <f t="shared" si="12"/>
        <v>0</v>
      </c>
      <c r="S150" s="278">
        <v>0</v>
      </c>
      <c r="T150" s="279">
        <f t="shared" si="13"/>
        <v>0</v>
      </c>
      <c r="AR150" s="280" t="s">
        <v>363</v>
      </c>
      <c r="AT150" s="280" t="s">
        <v>343</v>
      </c>
      <c r="AU150" s="280" t="s">
        <v>351</v>
      </c>
      <c r="AY150" s="190" t="s">
        <v>340</v>
      </c>
      <c r="BE150" s="281">
        <f t="shared" si="14"/>
        <v>0</v>
      </c>
      <c r="BF150" s="281">
        <f t="shared" si="15"/>
        <v>0</v>
      </c>
      <c r="BG150" s="281">
        <f t="shared" si="16"/>
        <v>0</v>
      </c>
      <c r="BH150" s="281">
        <f t="shared" si="17"/>
        <v>0</v>
      </c>
      <c r="BI150" s="281">
        <f t="shared" si="18"/>
        <v>0</v>
      </c>
      <c r="BJ150" s="190" t="s">
        <v>338</v>
      </c>
      <c r="BK150" s="281">
        <f t="shared" si="19"/>
        <v>0</v>
      </c>
      <c r="BL150" s="190" t="s">
        <v>363</v>
      </c>
      <c r="BM150" s="280" t="s">
        <v>419</v>
      </c>
    </row>
    <row r="151" spans="2:65" s="198" customFormat="1" ht="16.5" customHeight="1" x14ac:dyDescent="0.2">
      <c r="B151" s="268"/>
      <c r="C151" s="282" t="s">
        <v>420</v>
      </c>
      <c r="D151" s="282" t="s">
        <v>366</v>
      </c>
      <c r="E151" s="283" t="s">
        <v>421</v>
      </c>
      <c r="F151" s="284" t="s">
        <v>422</v>
      </c>
      <c r="G151" s="285" t="s">
        <v>151</v>
      </c>
      <c r="H151" s="286">
        <v>1</v>
      </c>
      <c r="I151" s="287"/>
      <c r="J151" s="287">
        <f t="shared" si="10"/>
        <v>0</v>
      </c>
      <c r="K151" s="288"/>
      <c r="L151" s="289"/>
      <c r="M151" s="290" t="s">
        <v>279</v>
      </c>
      <c r="N151" s="291" t="s">
        <v>295</v>
      </c>
      <c r="O151" s="278">
        <v>0</v>
      </c>
      <c r="P151" s="278">
        <f t="shared" si="11"/>
        <v>0</v>
      </c>
      <c r="Q151" s="278">
        <v>4.0000000000000003E-5</v>
      </c>
      <c r="R151" s="278">
        <f t="shared" si="12"/>
        <v>4.0000000000000003E-5</v>
      </c>
      <c r="S151" s="278">
        <v>0</v>
      </c>
      <c r="T151" s="279">
        <f t="shared" si="13"/>
        <v>0</v>
      </c>
      <c r="AR151" s="280" t="s">
        <v>369</v>
      </c>
      <c r="AT151" s="280" t="s">
        <v>366</v>
      </c>
      <c r="AU151" s="280" t="s">
        <v>351</v>
      </c>
      <c r="AY151" s="190" t="s">
        <v>340</v>
      </c>
      <c r="BE151" s="281">
        <f t="shared" si="14"/>
        <v>0</v>
      </c>
      <c r="BF151" s="281">
        <f t="shared" si="15"/>
        <v>0</v>
      </c>
      <c r="BG151" s="281">
        <f t="shared" si="16"/>
        <v>0</v>
      </c>
      <c r="BH151" s="281">
        <f t="shared" si="17"/>
        <v>0</v>
      </c>
      <c r="BI151" s="281">
        <f t="shared" si="18"/>
        <v>0</v>
      </c>
      <c r="BJ151" s="190" t="s">
        <v>338</v>
      </c>
      <c r="BK151" s="281">
        <f t="shared" si="19"/>
        <v>0</v>
      </c>
      <c r="BL151" s="190" t="s">
        <v>363</v>
      </c>
      <c r="BM151" s="280" t="s">
        <v>423</v>
      </c>
    </row>
    <row r="152" spans="2:65" s="198" customFormat="1" ht="24.2" customHeight="1" x14ac:dyDescent="0.2">
      <c r="B152" s="268"/>
      <c r="C152" s="269" t="s">
        <v>424</v>
      </c>
      <c r="D152" s="269" t="s">
        <v>343</v>
      </c>
      <c r="E152" s="270" t="s">
        <v>425</v>
      </c>
      <c r="F152" s="271" t="s">
        <v>426</v>
      </c>
      <c r="G152" s="272" t="s">
        <v>151</v>
      </c>
      <c r="H152" s="273">
        <v>6</v>
      </c>
      <c r="I152" s="274"/>
      <c r="J152" s="274">
        <f t="shared" si="10"/>
        <v>0</v>
      </c>
      <c r="K152" s="275"/>
      <c r="L152" s="197"/>
      <c r="M152" s="276" t="s">
        <v>279</v>
      </c>
      <c r="N152" s="277" t="s">
        <v>295</v>
      </c>
      <c r="O152" s="278">
        <v>0.23300000000000001</v>
      </c>
      <c r="P152" s="278">
        <f t="shared" si="11"/>
        <v>1.3980000000000001</v>
      </c>
      <c r="Q152" s="278">
        <v>0</v>
      </c>
      <c r="R152" s="278">
        <f t="shared" si="12"/>
        <v>0</v>
      </c>
      <c r="S152" s="278">
        <v>0</v>
      </c>
      <c r="T152" s="279">
        <f t="shared" si="13"/>
        <v>0</v>
      </c>
      <c r="AR152" s="280" t="s">
        <v>363</v>
      </c>
      <c r="AT152" s="280" t="s">
        <v>343</v>
      </c>
      <c r="AU152" s="280" t="s">
        <v>351</v>
      </c>
      <c r="AY152" s="190" t="s">
        <v>340</v>
      </c>
      <c r="BE152" s="281">
        <f t="shared" si="14"/>
        <v>0</v>
      </c>
      <c r="BF152" s="281">
        <f t="shared" si="15"/>
        <v>0</v>
      </c>
      <c r="BG152" s="281">
        <f t="shared" si="16"/>
        <v>0</v>
      </c>
      <c r="BH152" s="281">
        <f t="shared" si="17"/>
        <v>0</v>
      </c>
      <c r="BI152" s="281">
        <f t="shared" si="18"/>
        <v>0</v>
      </c>
      <c r="BJ152" s="190" t="s">
        <v>338</v>
      </c>
      <c r="BK152" s="281">
        <f t="shared" si="19"/>
        <v>0</v>
      </c>
      <c r="BL152" s="190" t="s">
        <v>363</v>
      </c>
      <c r="BM152" s="280" t="s">
        <v>427</v>
      </c>
    </row>
    <row r="153" spans="2:65" s="198" customFormat="1" ht="24.2" customHeight="1" x14ac:dyDescent="0.2">
      <c r="B153" s="268"/>
      <c r="C153" s="282" t="s">
        <v>428</v>
      </c>
      <c r="D153" s="282" t="s">
        <v>366</v>
      </c>
      <c r="E153" s="283" t="s">
        <v>429</v>
      </c>
      <c r="F153" s="284" t="s">
        <v>430</v>
      </c>
      <c r="G153" s="285" t="s">
        <v>151</v>
      </c>
      <c r="H153" s="286">
        <v>6</v>
      </c>
      <c r="I153" s="287"/>
      <c r="J153" s="287">
        <f t="shared" si="10"/>
        <v>0</v>
      </c>
      <c r="K153" s="288"/>
      <c r="L153" s="289"/>
      <c r="M153" s="290" t="s">
        <v>279</v>
      </c>
      <c r="N153" s="291" t="s">
        <v>295</v>
      </c>
      <c r="O153" s="278">
        <v>0</v>
      </c>
      <c r="P153" s="278">
        <f t="shared" si="11"/>
        <v>0</v>
      </c>
      <c r="Q153" s="278">
        <v>5.0000000000000002E-5</v>
      </c>
      <c r="R153" s="278">
        <f t="shared" si="12"/>
        <v>3.0000000000000003E-4</v>
      </c>
      <c r="S153" s="278">
        <v>0</v>
      </c>
      <c r="T153" s="279">
        <f t="shared" si="13"/>
        <v>0</v>
      </c>
      <c r="AR153" s="280" t="s">
        <v>369</v>
      </c>
      <c r="AT153" s="280" t="s">
        <v>366</v>
      </c>
      <c r="AU153" s="280" t="s">
        <v>351</v>
      </c>
      <c r="AY153" s="190" t="s">
        <v>340</v>
      </c>
      <c r="BE153" s="281">
        <f t="shared" si="14"/>
        <v>0</v>
      </c>
      <c r="BF153" s="281">
        <f t="shared" si="15"/>
        <v>0</v>
      </c>
      <c r="BG153" s="281">
        <f t="shared" si="16"/>
        <v>0</v>
      </c>
      <c r="BH153" s="281">
        <f t="shared" si="17"/>
        <v>0</v>
      </c>
      <c r="BI153" s="281">
        <f t="shared" si="18"/>
        <v>0</v>
      </c>
      <c r="BJ153" s="190" t="s">
        <v>338</v>
      </c>
      <c r="BK153" s="281">
        <f t="shared" si="19"/>
        <v>0</v>
      </c>
      <c r="BL153" s="190" t="s">
        <v>363</v>
      </c>
      <c r="BM153" s="280" t="s">
        <v>431</v>
      </c>
    </row>
    <row r="154" spans="2:65" s="198" customFormat="1" ht="24.2" customHeight="1" x14ac:dyDescent="0.2">
      <c r="B154" s="268"/>
      <c r="C154" s="269" t="s">
        <v>432</v>
      </c>
      <c r="D154" s="269" t="s">
        <v>343</v>
      </c>
      <c r="E154" s="270" t="s">
        <v>433</v>
      </c>
      <c r="F154" s="271" t="s">
        <v>434</v>
      </c>
      <c r="G154" s="272" t="s">
        <v>151</v>
      </c>
      <c r="H154" s="273">
        <v>2</v>
      </c>
      <c r="I154" s="274"/>
      <c r="J154" s="274">
        <f t="shared" si="10"/>
        <v>0</v>
      </c>
      <c r="K154" s="275"/>
      <c r="L154" s="197"/>
      <c r="M154" s="276" t="s">
        <v>279</v>
      </c>
      <c r="N154" s="277" t="s">
        <v>295</v>
      </c>
      <c r="O154" s="278">
        <v>0.249</v>
      </c>
      <c r="P154" s="278">
        <f t="shared" si="11"/>
        <v>0.498</v>
      </c>
      <c r="Q154" s="278">
        <v>0</v>
      </c>
      <c r="R154" s="278">
        <f t="shared" si="12"/>
        <v>0</v>
      </c>
      <c r="S154" s="278">
        <v>0</v>
      </c>
      <c r="T154" s="279">
        <f t="shared" si="13"/>
        <v>0</v>
      </c>
      <c r="AR154" s="280" t="s">
        <v>363</v>
      </c>
      <c r="AT154" s="280" t="s">
        <v>343</v>
      </c>
      <c r="AU154" s="280" t="s">
        <v>351</v>
      </c>
      <c r="AY154" s="190" t="s">
        <v>340</v>
      </c>
      <c r="BE154" s="281">
        <f t="shared" si="14"/>
        <v>0</v>
      </c>
      <c r="BF154" s="281">
        <f t="shared" si="15"/>
        <v>0</v>
      </c>
      <c r="BG154" s="281">
        <f t="shared" si="16"/>
        <v>0</v>
      </c>
      <c r="BH154" s="281">
        <f t="shared" si="17"/>
        <v>0</v>
      </c>
      <c r="BI154" s="281">
        <f t="shared" si="18"/>
        <v>0</v>
      </c>
      <c r="BJ154" s="190" t="s">
        <v>338</v>
      </c>
      <c r="BK154" s="281">
        <f t="shared" si="19"/>
        <v>0</v>
      </c>
      <c r="BL154" s="190" t="s">
        <v>363</v>
      </c>
      <c r="BM154" s="280" t="s">
        <v>435</v>
      </c>
    </row>
    <row r="155" spans="2:65" s="198" customFormat="1" ht="24.2" customHeight="1" x14ac:dyDescent="0.2">
      <c r="B155" s="268"/>
      <c r="C155" s="282" t="s">
        <v>436</v>
      </c>
      <c r="D155" s="282" t="s">
        <v>366</v>
      </c>
      <c r="E155" s="283" t="s">
        <v>437</v>
      </c>
      <c r="F155" s="284" t="s">
        <v>438</v>
      </c>
      <c r="G155" s="285" t="s">
        <v>151</v>
      </c>
      <c r="H155" s="286">
        <v>2</v>
      </c>
      <c r="I155" s="287"/>
      <c r="J155" s="287">
        <f t="shared" si="10"/>
        <v>0</v>
      </c>
      <c r="K155" s="288"/>
      <c r="L155" s="289"/>
      <c r="M155" s="290" t="s">
        <v>279</v>
      </c>
      <c r="N155" s="291" t="s">
        <v>295</v>
      </c>
      <c r="O155" s="278">
        <v>0</v>
      </c>
      <c r="P155" s="278">
        <f t="shared" si="11"/>
        <v>0</v>
      </c>
      <c r="Q155" s="278">
        <v>1E-4</v>
      </c>
      <c r="R155" s="278">
        <f t="shared" si="12"/>
        <v>2.0000000000000001E-4</v>
      </c>
      <c r="S155" s="278">
        <v>0</v>
      </c>
      <c r="T155" s="279">
        <f t="shared" si="13"/>
        <v>0</v>
      </c>
      <c r="AR155" s="280" t="s">
        <v>369</v>
      </c>
      <c r="AT155" s="280" t="s">
        <v>366</v>
      </c>
      <c r="AU155" s="280" t="s">
        <v>351</v>
      </c>
      <c r="AY155" s="190" t="s">
        <v>340</v>
      </c>
      <c r="BE155" s="281">
        <f t="shared" si="14"/>
        <v>0</v>
      </c>
      <c r="BF155" s="281">
        <f t="shared" si="15"/>
        <v>0</v>
      </c>
      <c r="BG155" s="281">
        <f t="shared" si="16"/>
        <v>0</v>
      </c>
      <c r="BH155" s="281">
        <f t="shared" si="17"/>
        <v>0</v>
      </c>
      <c r="BI155" s="281">
        <f t="shared" si="18"/>
        <v>0</v>
      </c>
      <c r="BJ155" s="190" t="s">
        <v>338</v>
      </c>
      <c r="BK155" s="281">
        <f t="shared" si="19"/>
        <v>0</v>
      </c>
      <c r="BL155" s="190" t="s">
        <v>363</v>
      </c>
      <c r="BM155" s="280" t="s">
        <v>439</v>
      </c>
    </row>
    <row r="156" spans="2:65" s="198" customFormat="1" ht="33" customHeight="1" x14ac:dyDescent="0.2">
      <c r="B156" s="268"/>
      <c r="C156" s="269" t="s">
        <v>440</v>
      </c>
      <c r="D156" s="269" t="s">
        <v>343</v>
      </c>
      <c r="E156" s="270" t="s">
        <v>441</v>
      </c>
      <c r="F156" s="271" t="s">
        <v>442</v>
      </c>
      <c r="G156" s="272" t="s">
        <v>151</v>
      </c>
      <c r="H156" s="273">
        <v>11</v>
      </c>
      <c r="I156" s="274"/>
      <c r="J156" s="274">
        <f t="shared" si="10"/>
        <v>0</v>
      </c>
      <c r="K156" s="275"/>
      <c r="L156" s="197"/>
      <c r="M156" s="276" t="s">
        <v>279</v>
      </c>
      <c r="N156" s="277" t="s">
        <v>295</v>
      </c>
      <c r="O156" s="278">
        <v>0.44</v>
      </c>
      <c r="P156" s="278">
        <f t="shared" si="11"/>
        <v>4.84</v>
      </c>
      <c r="Q156" s="278">
        <v>0</v>
      </c>
      <c r="R156" s="278">
        <f t="shared" si="12"/>
        <v>0</v>
      </c>
      <c r="S156" s="278">
        <v>0</v>
      </c>
      <c r="T156" s="279">
        <f t="shared" si="13"/>
        <v>0</v>
      </c>
      <c r="AR156" s="280" t="s">
        <v>363</v>
      </c>
      <c r="AT156" s="280" t="s">
        <v>343</v>
      </c>
      <c r="AU156" s="280" t="s">
        <v>351</v>
      </c>
      <c r="AY156" s="190" t="s">
        <v>340</v>
      </c>
      <c r="BE156" s="281">
        <f t="shared" si="14"/>
        <v>0</v>
      </c>
      <c r="BF156" s="281">
        <f t="shared" si="15"/>
        <v>0</v>
      </c>
      <c r="BG156" s="281">
        <f t="shared" si="16"/>
        <v>0</v>
      </c>
      <c r="BH156" s="281">
        <f t="shared" si="17"/>
        <v>0</v>
      </c>
      <c r="BI156" s="281">
        <f t="shared" si="18"/>
        <v>0</v>
      </c>
      <c r="BJ156" s="190" t="s">
        <v>338</v>
      </c>
      <c r="BK156" s="281">
        <f t="shared" si="19"/>
        <v>0</v>
      </c>
      <c r="BL156" s="190" t="s">
        <v>363</v>
      </c>
      <c r="BM156" s="280" t="s">
        <v>443</v>
      </c>
    </row>
    <row r="157" spans="2:65" s="198" customFormat="1" ht="21.75" customHeight="1" x14ac:dyDescent="0.2">
      <c r="B157" s="268"/>
      <c r="C157" s="282" t="s">
        <v>444</v>
      </c>
      <c r="D157" s="282" t="s">
        <v>366</v>
      </c>
      <c r="E157" s="283" t="s">
        <v>445</v>
      </c>
      <c r="F157" s="284" t="s">
        <v>446</v>
      </c>
      <c r="G157" s="285" t="s">
        <v>151</v>
      </c>
      <c r="H157" s="286">
        <v>11</v>
      </c>
      <c r="I157" s="287"/>
      <c r="J157" s="287">
        <f t="shared" si="10"/>
        <v>0</v>
      </c>
      <c r="K157" s="288"/>
      <c r="L157" s="289"/>
      <c r="M157" s="290" t="s">
        <v>279</v>
      </c>
      <c r="N157" s="291" t="s">
        <v>295</v>
      </c>
      <c r="O157" s="278">
        <v>0</v>
      </c>
      <c r="P157" s="278">
        <f t="shared" si="11"/>
        <v>0</v>
      </c>
      <c r="Q157" s="278">
        <v>0</v>
      </c>
      <c r="R157" s="278">
        <f t="shared" si="12"/>
        <v>0</v>
      </c>
      <c r="S157" s="278">
        <v>0</v>
      </c>
      <c r="T157" s="279">
        <f t="shared" si="13"/>
        <v>0</v>
      </c>
      <c r="AR157" s="280" t="s">
        <v>369</v>
      </c>
      <c r="AT157" s="280" t="s">
        <v>366</v>
      </c>
      <c r="AU157" s="280" t="s">
        <v>351</v>
      </c>
      <c r="AY157" s="190" t="s">
        <v>340</v>
      </c>
      <c r="BE157" s="281">
        <f t="shared" si="14"/>
        <v>0</v>
      </c>
      <c r="BF157" s="281">
        <f t="shared" si="15"/>
        <v>0</v>
      </c>
      <c r="BG157" s="281">
        <f t="shared" si="16"/>
        <v>0</v>
      </c>
      <c r="BH157" s="281">
        <f t="shared" si="17"/>
        <v>0</v>
      </c>
      <c r="BI157" s="281">
        <f t="shared" si="18"/>
        <v>0</v>
      </c>
      <c r="BJ157" s="190" t="s">
        <v>338</v>
      </c>
      <c r="BK157" s="281">
        <f t="shared" si="19"/>
        <v>0</v>
      </c>
      <c r="BL157" s="190" t="s">
        <v>363</v>
      </c>
      <c r="BM157" s="280" t="s">
        <v>447</v>
      </c>
    </row>
    <row r="158" spans="2:65" s="198" customFormat="1" ht="24.2" customHeight="1" x14ac:dyDescent="0.2">
      <c r="B158" s="268"/>
      <c r="C158" s="269" t="s">
        <v>448</v>
      </c>
      <c r="D158" s="269" t="s">
        <v>343</v>
      </c>
      <c r="E158" s="270" t="s">
        <v>449</v>
      </c>
      <c r="F158" s="271" t="s">
        <v>450</v>
      </c>
      <c r="G158" s="272" t="s">
        <v>151</v>
      </c>
      <c r="H158" s="273">
        <v>1</v>
      </c>
      <c r="I158" s="274"/>
      <c r="J158" s="274">
        <f t="shared" si="10"/>
        <v>0</v>
      </c>
      <c r="K158" s="275"/>
      <c r="L158" s="197"/>
      <c r="M158" s="276" t="s">
        <v>279</v>
      </c>
      <c r="N158" s="277" t="s">
        <v>295</v>
      </c>
      <c r="O158" s="278">
        <v>3.5</v>
      </c>
      <c r="P158" s="278">
        <f t="shared" si="11"/>
        <v>3.5</v>
      </c>
      <c r="Q158" s="278">
        <v>0</v>
      </c>
      <c r="R158" s="278">
        <f t="shared" si="12"/>
        <v>0</v>
      </c>
      <c r="S158" s="278">
        <v>0</v>
      </c>
      <c r="T158" s="279">
        <f t="shared" si="13"/>
        <v>0</v>
      </c>
      <c r="AR158" s="280" t="s">
        <v>363</v>
      </c>
      <c r="AT158" s="280" t="s">
        <v>343</v>
      </c>
      <c r="AU158" s="280" t="s">
        <v>351</v>
      </c>
      <c r="AY158" s="190" t="s">
        <v>340</v>
      </c>
      <c r="BE158" s="281">
        <f t="shared" si="14"/>
        <v>0</v>
      </c>
      <c r="BF158" s="281">
        <f t="shared" si="15"/>
        <v>0</v>
      </c>
      <c r="BG158" s="281">
        <f t="shared" si="16"/>
        <v>0</v>
      </c>
      <c r="BH158" s="281">
        <f t="shared" si="17"/>
        <v>0</v>
      </c>
      <c r="BI158" s="281">
        <f t="shared" si="18"/>
        <v>0</v>
      </c>
      <c r="BJ158" s="190" t="s">
        <v>338</v>
      </c>
      <c r="BK158" s="281">
        <f t="shared" si="19"/>
        <v>0</v>
      </c>
      <c r="BL158" s="190" t="s">
        <v>363</v>
      </c>
      <c r="BM158" s="280" t="s">
        <v>451</v>
      </c>
    </row>
    <row r="159" spans="2:65" s="198" customFormat="1" ht="16.5" customHeight="1" x14ac:dyDescent="0.2">
      <c r="B159" s="268"/>
      <c r="C159" s="282" t="s">
        <v>452</v>
      </c>
      <c r="D159" s="282" t="s">
        <v>366</v>
      </c>
      <c r="E159" s="283" t="s">
        <v>453</v>
      </c>
      <c r="F159" s="284" t="s">
        <v>454</v>
      </c>
      <c r="G159" s="285" t="s">
        <v>151</v>
      </c>
      <c r="H159" s="286">
        <v>1</v>
      </c>
      <c r="I159" s="287"/>
      <c r="J159" s="287">
        <f t="shared" si="10"/>
        <v>0</v>
      </c>
      <c r="K159" s="288"/>
      <c r="L159" s="289"/>
      <c r="M159" s="290" t="s">
        <v>279</v>
      </c>
      <c r="N159" s="291" t="s">
        <v>295</v>
      </c>
      <c r="O159" s="278">
        <v>0</v>
      </c>
      <c r="P159" s="278">
        <f t="shared" si="11"/>
        <v>0</v>
      </c>
      <c r="Q159" s="278">
        <v>0</v>
      </c>
      <c r="R159" s="278">
        <f t="shared" si="12"/>
        <v>0</v>
      </c>
      <c r="S159" s="278">
        <v>0</v>
      </c>
      <c r="T159" s="279">
        <f t="shared" si="13"/>
        <v>0</v>
      </c>
      <c r="AR159" s="280" t="s">
        <v>369</v>
      </c>
      <c r="AT159" s="280" t="s">
        <v>366</v>
      </c>
      <c r="AU159" s="280" t="s">
        <v>351</v>
      </c>
      <c r="AY159" s="190" t="s">
        <v>340</v>
      </c>
      <c r="BE159" s="281">
        <f t="shared" si="14"/>
        <v>0</v>
      </c>
      <c r="BF159" s="281">
        <f t="shared" si="15"/>
        <v>0</v>
      </c>
      <c r="BG159" s="281">
        <f t="shared" si="16"/>
        <v>0</v>
      </c>
      <c r="BH159" s="281">
        <f t="shared" si="17"/>
        <v>0</v>
      </c>
      <c r="BI159" s="281">
        <f t="shared" si="18"/>
        <v>0</v>
      </c>
      <c r="BJ159" s="190" t="s">
        <v>338</v>
      </c>
      <c r="BK159" s="281">
        <f t="shared" si="19"/>
        <v>0</v>
      </c>
      <c r="BL159" s="190" t="s">
        <v>363</v>
      </c>
      <c r="BM159" s="280" t="s">
        <v>455</v>
      </c>
    </row>
    <row r="160" spans="2:65" s="257" customFormat="1" ht="20.85" customHeight="1" x14ac:dyDescent="0.2">
      <c r="B160" s="256"/>
      <c r="D160" s="258" t="s">
        <v>336</v>
      </c>
      <c r="E160" s="266" t="s">
        <v>456</v>
      </c>
      <c r="F160" s="266" t="s">
        <v>457</v>
      </c>
      <c r="J160" s="267">
        <f>BK160</f>
        <v>0</v>
      </c>
      <c r="L160" s="256"/>
      <c r="M160" s="261"/>
      <c r="P160" s="262">
        <f>SUM(P161:P162)</f>
        <v>1.4079999999999999</v>
      </c>
      <c r="R160" s="262">
        <f>SUM(R161:R162)</f>
        <v>4.0000000000000002E-4</v>
      </c>
      <c r="T160" s="263">
        <f>SUM(T161:T162)</f>
        <v>0</v>
      </c>
      <c r="AR160" s="258" t="s">
        <v>272</v>
      </c>
      <c r="AT160" s="264" t="s">
        <v>336</v>
      </c>
      <c r="AU160" s="264" t="s">
        <v>272</v>
      </c>
      <c r="AY160" s="258" t="s">
        <v>340</v>
      </c>
      <c r="BK160" s="265">
        <f>SUM(BK161:BK162)</f>
        <v>0</v>
      </c>
    </row>
    <row r="161" spans="2:65" s="198" customFormat="1" ht="16.5" customHeight="1" x14ac:dyDescent="0.2">
      <c r="B161" s="268"/>
      <c r="C161" s="269" t="s">
        <v>458</v>
      </c>
      <c r="D161" s="269" t="s">
        <v>343</v>
      </c>
      <c r="E161" s="270" t="s">
        <v>459</v>
      </c>
      <c r="F161" s="271" t="s">
        <v>460</v>
      </c>
      <c r="G161" s="272" t="s">
        <v>151</v>
      </c>
      <c r="H161" s="273">
        <v>2</v>
      </c>
      <c r="I161" s="274"/>
      <c r="J161" s="274">
        <f>ROUND(I161*H161,2)</f>
        <v>0</v>
      </c>
      <c r="K161" s="275"/>
      <c r="L161" s="197"/>
      <c r="M161" s="276" t="s">
        <v>279</v>
      </c>
      <c r="N161" s="277" t="s">
        <v>295</v>
      </c>
      <c r="O161" s="278">
        <v>0.70399999999999996</v>
      </c>
      <c r="P161" s="278">
        <f>O161*H161</f>
        <v>1.4079999999999999</v>
      </c>
      <c r="Q161" s="278">
        <v>0</v>
      </c>
      <c r="R161" s="278">
        <f>Q161*H161</f>
        <v>0</v>
      </c>
      <c r="S161" s="278">
        <v>0</v>
      </c>
      <c r="T161" s="279">
        <f>S161*H161</f>
        <v>0</v>
      </c>
      <c r="AR161" s="280" t="s">
        <v>363</v>
      </c>
      <c r="AT161" s="280" t="s">
        <v>343</v>
      </c>
      <c r="AU161" s="280" t="s">
        <v>351</v>
      </c>
      <c r="AY161" s="190" t="s">
        <v>340</v>
      </c>
      <c r="BE161" s="281">
        <f>IF(N161="základní",J161,0)</f>
        <v>0</v>
      </c>
      <c r="BF161" s="281">
        <f>IF(N161="snížená",J161,0)</f>
        <v>0</v>
      </c>
      <c r="BG161" s="281">
        <f>IF(N161="zákl. přenesená",J161,0)</f>
        <v>0</v>
      </c>
      <c r="BH161" s="281">
        <f>IF(N161="sníž. přenesená",J161,0)</f>
        <v>0</v>
      </c>
      <c r="BI161" s="281">
        <f>IF(N161="nulová",J161,0)</f>
        <v>0</v>
      </c>
      <c r="BJ161" s="190" t="s">
        <v>338</v>
      </c>
      <c r="BK161" s="281">
        <f>ROUND(I161*H161,2)</f>
        <v>0</v>
      </c>
      <c r="BL161" s="190" t="s">
        <v>363</v>
      </c>
      <c r="BM161" s="280" t="s">
        <v>461</v>
      </c>
    </row>
    <row r="162" spans="2:65" s="198" customFormat="1" ht="62.65" customHeight="1" x14ac:dyDescent="0.2">
      <c r="B162" s="268"/>
      <c r="C162" s="282" t="s">
        <v>462</v>
      </c>
      <c r="D162" s="282" t="s">
        <v>366</v>
      </c>
      <c r="E162" s="283" t="s">
        <v>463</v>
      </c>
      <c r="F162" s="284" t="s">
        <v>464</v>
      </c>
      <c r="G162" s="285" t="s">
        <v>151</v>
      </c>
      <c r="H162" s="286">
        <v>2</v>
      </c>
      <c r="I162" s="287"/>
      <c r="J162" s="287">
        <f>ROUND(I162*H162,2)</f>
        <v>0</v>
      </c>
      <c r="K162" s="288"/>
      <c r="L162" s="289"/>
      <c r="M162" s="290" t="s">
        <v>279</v>
      </c>
      <c r="N162" s="291" t="s">
        <v>295</v>
      </c>
      <c r="O162" s="278">
        <v>0</v>
      </c>
      <c r="P162" s="278">
        <f>O162*H162</f>
        <v>0</v>
      </c>
      <c r="Q162" s="278">
        <v>2.0000000000000001E-4</v>
      </c>
      <c r="R162" s="278">
        <f>Q162*H162</f>
        <v>4.0000000000000002E-4</v>
      </c>
      <c r="S162" s="278">
        <v>0</v>
      </c>
      <c r="T162" s="279">
        <f>S162*H162</f>
        <v>0</v>
      </c>
      <c r="AR162" s="280" t="s">
        <v>369</v>
      </c>
      <c r="AT162" s="280" t="s">
        <v>366</v>
      </c>
      <c r="AU162" s="280" t="s">
        <v>351</v>
      </c>
      <c r="AY162" s="190" t="s">
        <v>340</v>
      </c>
      <c r="BE162" s="281">
        <f>IF(N162="základní",J162,0)</f>
        <v>0</v>
      </c>
      <c r="BF162" s="281">
        <f>IF(N162="snížená",J162,0)</f>
        <v>0</v>
      </c>
      <c r="BG162" s="281">
        <f>IF(N162="zákl. přenesená",J162,0)</f>
        <v>0</v>
      </c>
      <c r="BH162" s="281">
        <f>IF(N162="sníž. přenesená",J162,0)</f>
        <v>0</v>
      </c>
      <c r="BI162" s="281">
        <f>IF(N162="nulová",J162,0)</f>
        <v>0</v>
      </c>
      <c r="BJ162" s="190" t="s">
        <v>338</v>
      </c>
      <c r="BK162" s="281">
        <f>ROUND(I162*H162,2)</f>
        <v>0</v>
      </c>
      <c r="BL162" s="190" t="s">
        <v>363</v>
      </c>
      <c r="BM162" s="280" t="s">
        <v>465</v>
      </c>
    </row>
    <row r="163" spans="2:65" s="257" customFormat="1" ht="25.9" customHeight="1" x14ac:dyDescent="0.2">
      <c r="B163" s="256"/>
      <c r="D163" s="258" t="s">
        <v>336</v>
      </c>
      <c r="E163" s="259" t="s">
        <v>366</v>
      </c>
      <c r="F163" s="259" t="s">
        <v>466</v>
      </c>
      <c r="J163" s="260">
        <f>BK163</f>
        <v>0</v>
      </c>
      <c r="L163" s="256"/>
      <c r="M163" s="261"/>
      <c r="P163" s="262">
        <f>P164+P172</f>
        <v>1.6149279999999997</v>
      </c>
      <c r="R163" s="262">
        <f>R164+R172</f>
        <v>3.4400000000000003E-3</v>
      </c>
      <c r="T163" s="263">
        <f>T164+T172</f>
        <v>8.0000000000000002E-3</v>
      </c>
      <c r="AR163" s="258" t="s">
        <v>351</v>
      </c>
      <c r="AT163" s="264" t="s">
        <v>336</v>
      </c>
      <c r="AU163" s="264" t="s">
        <v>339</v>
      </c>
      <c r="AY163" s="258" t="s">
        <v>340</v>
      </c>
      <c r="BK163" s="265">
        <f>BK164+BK172</f>
        <v>0</v>
      </c>
    </row>
    <row r="164" spans="2:65" s="257" customFormat="1" ht="22.9" customHeight="1" x14ac:dyDescent="0.2">
      <c r="B164" s="256"/>
      <c r="D164" s="258" t="s">
        <v>336</v>
      </c>
      <c r="E164" s="266" t="s">
        <v>467</v>
      </c>
      <c r="F164" s="266" t="s">
        <v>468</v>
      </c>
      <c r="J164" s="267">
        <f>BK164</f>
        <v>0</v>
      </c>
      <c r="L164" s="256"/>
      <c r="M164" s="261"/>
      <c r="P164" s="262">
        <f>SUM(P165:P171)</f>
        <v>1.4549279999999998</v>
      </c>
      <c r="R164" s="262">
        <f>SUM(R165:R171)</f>
        <v>3.4400000000000003E-3</v>
      </c>
      <c r="T164" s="263">
        <f>SUM(T165:T171)</f>
        <v>8.0000000000000002E-3</v>
      </c>
      <c r="AR164" s="258" t="s">
        <v>351</v>
      </c>
      <c r="AT164" s="264" t="s">
        <v>336</v>
      </c>
      <c r="AU164" s="264" t="s">
        <v>338</v>
      </c>
      <c r="AY164" s="258" t="s">
        <v>340</v>
      </c>
      <c r="BK164" s="265">
        <f>SUM(BK165:BK171)</f>
        <v>0</v>
      </c>
    </row>
    <row r="165" spans="2:65" s="198" customFormat="1" ht="24.2" customHeight="1" x14ac:dyDescent="0.2">
      <c r="B165" s="268"/>
      <c r="C165" s="269" t="s">
        <v>469</v>
      </c>
      <c r="D165" s="269" t="s">
        <v>343</v>
      </c>
      <c r="E165" s="270" t="s">
        <v>470</v>
      </c>
      <c r="F165" s="271" t="s">
        <v>471</v>
      </c>
      <c r="G165" s="272" t="s">
        <v>238</v>
      </c>
      <c r="H165" s="273">
        <v>4</v>
      </c>
      <c r="I165" s="274"/>
      <c r="J165" s="274">
        <f t="shared" ref="J165:J171" si="20">ROUND(I165*H165,2)</f>
        <v>0</v>
      </c>
      <c r="K165" s="275"/>
      <c r="L165" s="197"/>
      <c r="M165" s="276" t="s">
        <v>279</v>
      </c>
      <c r="N165" s="277" t="s">
        <v>295</v>
      </c>
      <c r="O165" s="278">
        <v>0.214</v>
      </c>
      <c r="P165" s="278">
        <f t="shared" ref="P165:P171" si="21">O165*H165</f>
        <v>0.85599999999999998</v>
      </c>
      <c r="Q165" s="278">
        <v>8.4000000000000003E-4</v>
      </c>
      <c r="R165" s="278">
        <f t="shared" ref="R165:R171" si="22">Q165*H165</f>
        <v>3.3600000000000001E-3</v>
      </c>
      <c r="S165" s="278">
        <v>0</v>
      </c>
      <c r="T165" s="279">
        <f t="shared" ref="T165:T171" si="23">S165*H165</f>
        <v>0</v>
      </c>
      <c r="AR165" s="280" t="s">
        <v>66</v>
      </c>
      <c r="AT165" s="280" t="s">
        <v>343</v>
      </c>
      <c r="AU165" s="280" t="s">
        <v>272</v>
      </c>
      <c r="AY165" s="190" t="s">
        <v>340</v>
      </c>
      <c r="BE165" s="281">
        <f t="shared" ref="BE165:BE171" si="24">IF(N165="základní",J165,0)</f>
        <v>0</v>
      </c>
      <c r="BF165" s="281">
        <f t="shared" ref="BF165:BF171" si="25">IF(N165="snížená",J165,0)</f>
        <v>0</v>
      </c>
      <c r="BG165" s="281">
        <f t="shared" ref="BG165:BG171" si="26">IF(N165="zákl. přenesená",J165,0)</f>
        <v>0</v>
      </c>
      <c r="BH165" s="281">
        <f t="shared" ref="BH165:BH171" si="27">IF(N165="sníž. přenesená",J165,0)</f>
        <v>0</v>
      </c>
      <c r="BI165" s="281">
        <f t="shared" ref="BI165:BI171" si="28">IF(N165="nulová",J165,0)</f>
        <v>0</v>
      </c>
      <c r="BJ165" s="190" t="s">
        <v>338</v>
      </c>
      <c r="BK165" s="281">
        <f t="shared" ref="BK165:BK171" si="29">ROUND(I165*H165,2)</f>
        <v>0</v>
      </c>
      <c r="BL165" s="190" t="s">
        <v>66</v>
      </c>
      <c r="BM165" s="280" t="s">
        <v>472</v>
      </c>
    </row>
    <row r="166" spans="2:65" s="198" customFormat="1" ht="24.2" customHeight="1" x14ac:dyDescent="0.2">
      <c r="B166" s="268"/>
      <c r="C166" s="269" t="s">
        <v>473</v>
      </c>
      <c r="D166" s="269" t="s">
        <v>343</v>
      </c>
      <c r="E166" s="270" t="s">
        <v>474</v>
      </c>
      <c r="F166" s="271" t="s">
        <v>475</v>
      </c>
      <c r="G166" s="272" t="s">
        <v>238</v>
      </c>
      <c r="H166" s="273">
        <v>4</v>
      </c>
      <c r="I166" s="274"/>
      <c r="J166" s="274">
        <f t="shared" si="20"/>
        <v>0</v>
      </c>
      <c r="K166" s="275"/>
      <c r="L166" s="197"/>
      <c r="M166" s="276" t="s">
        <v>279</v>
      </c>
      <c r="N166" s="277" t="s">
        <v>295</v>
      </c>
      <c r="O166" s="278">
        <v>0.14499999999999999</v>
      </c>
      <c r="P166" s="278">
        <f t="shared" si="21"/>
        <v>0.57999999999999996</v>
      </c>
      <c r="Q166" s="278">
        <v>2.0000000000000002E-5</v>
      </c>
      <c r="R166" s="278">
        <f t="shared" si="22"/>
        <v>8.0000000000000007E-5</v>
      </c>
      <c r="S166" s="278">
        <v>2E-3</v>
      </c>
      <c r="T166" s="279">
        <f t="shared" si="23"/>
        <v>8.0000000000000002E-3</v>
      </c>
      <c r="AR166" s="280" t="s">
        <v>66</v>
      </c>
      <c r="AT166" s="280" t="s">
        <v>343</v>
      </c>
      <c r="AU166" s="280" t="s">
        <v>272</v>
      </c>
      <c r="AY166" s="190" t="s">
        <v>340</v>
      </c>
      <c r="BE166" s="281">
        <f t="shared" si="24"/>
        <v>0</v>
      </c>
      <c r="BF166" s="281">
        <f t="shared" si="25"/>
        <v>0</v>
      </c>
      <c r="BG166" s="281">
        <f t="shared" si="26"/>
        <v>0</v>
      </c>
      <c r="BH166" s="281">
        <f t="shared" si="27"/>
        <v>0</v>
      </c>
      <c r="BI166" s="281">
        <f t="shared" si="28"/>
        <v>0</v>
      </c>
      <c r="BJ166" s="190" t="s">
        <v>338</v>
      </c>
      <c r="BK166" s="281">
        <f t="shared" si="29"/>
        <v>0</v>
      </c>
      <c r="BL166" s="190" t="s">
        <v>66</v>
      </c>
      <c r="BM166" s="280" t="s">
        <v>476</v>
      </c>
    </row>
    <row r="167" spans="2:65" s="198" customFormat="1" ht="24.2" customHeight="1" x14ac:dyDescent="0.2">
      <c r="B167" s="268"/>
      <c r="C167" s="269" t="s">
        <v>369</v>
      </c>
      <c r="D167" s="269" t="s">
        <v>343</v>
      </c>
      <c r="E167" s="270" t="s">
        <v>477</v>
      </c>
      <c r="F167" s="271" t="s">
        <v>478</v>
      </c>
      <c r="G167" s="272" t="s">
        <v>200</v>
      </c>
      <c r="H167" s="273">
        <v>8.0000000000000002E-3</v>
      </c>
      <c r="I167" s="274"/>
      <c r="J167" s="274">
        <f t="shared" si="20"/>
        <v>0</v>
      </c>
      <c r="K167" s="275"/>
      <c r="L167" s="197"/>
      <c r="M167" s="276" t="s">
        <v>279</v>
      </c>
      <c r="N167" s="277" t="s">
        <v>295</v>
      </c>
      <c r="O167" s="278">
        <v>0.93300000000000005</v>
      </c>
      <c r="P167" s="278">
        <f t="shared" si="21"/>
        <v>7.4640000000000001E-3</v>
      </c>
      <c r="Q167" s="278">
        <v>0</v>
      </c>
      <c r="R167" s="278">
        <f t="shared" si="22"/>
        <v>0</v>
      </c>
      <c r="S167" s="278">
        <v>0</v>
      </c>
      <c r="T167" s="279">
        <f t="shared" si="23"/>
        <v>0</v>
      </c>
      <c r="AR167" s="280" t="s">
        <v>66</v>
      </c>
      <c r="AT167" s="280" t="s">
        <v>343</v>
      </c>
      <c r="AU167" s="280" t="s">
        <v>272</v>
      </c>
      <c r="AY167" s="190" t="s">
        <v>340</v>
      </c>
      <c r="BE167" s="281">
        <f t="shared" si="24"/>
        <v>0</v>
      </c>
      <c r="BF167" s="281">
        <f t="shared" si="25"/>
        <v>0</v>
      </c>
      <c r="BG167" s="281">
        <f t="shared" si="26"/>
        <v>0</v>
      </c>
      <c r="BH167" s="281">
        <f t="shared" si="27"/>
        <v>0</v>
      </c>
      <c r="BI167" s="281">
        <f t="shared" si="28"/>
        <v>0</v>
      </c>
      <c r="BJ167" s="190" t="s">
        <v>338</v>
      </c>
      <c r="BK167" s="281">
        <f t="shared" si="29"/>
        <v>0</v>
      </c>
      <c r="BL167" s="190" t="s">
        <v>66</v>
      </c>
      <c r="BM167" s="280" t="s">
        <v>479</v>
      </c>
    </row>
    <row r="168" spans="2:65" s="198" customFormat="1" ht="24.2" customHeight="1" x14ac:dyDescent="0.2">
      <c r="B168" s="268"/>
      <c r="C168" s="269" t="s">
        <v>480</v>
      </c>
      <c r="D168" s="269" t="s">
        <v>343</v>
      </c>
      <c r="E168" s="270" t="s">
        <v>481</v>
      </c>
      <c r="F168" s="271" t="s">
        <v>482</v>
      </c>
      <c r="G168" s="272" t="s">
        <v>200</v>
      </c>
      <c r="H168" s="273">
        <v>8.0000000000000002E-3</v>
      </c>
      <c r="I168" s="274"/>
      <c r="J168" s="274">
        <f t="shared" si="20"/>
        <v>0</v>
      </c>
      <c r="K168" s="275"/>
      <c r="L168" s="197"/>
      <c r="M168" s="276" t="s">
        <v>279</v>
      </c>
      <c r="N168" s="277" t="s">
        <v>295</v>
      </c>
      <c r="O168" s="278">
        <v>0.65300000000000002</v>
      </c>
      <c r="P168" s="278">
        <f t="shared" si="21"/>
        <v>5.2240000000000003E-3</v>
      </c>
      <c r="Q168" s="278">
        <v>0</v>
      </c>
      <c r="R168" s="278">
        <f t="shared" si="22"/>
        <v>0</v>
      </c>
      <c r="S168" s="278">
        <v>0</v>
      </c>
      <c r="T168" s="279">
        <f t="shared" si="23"/>
        <v>0</v>
      </c>
      <c r="AR168" s="280" t="s">
        <v>66</v>
      </c>
      <c r="AT168" s="280" t="s">
        <v>343</v>
      </c>
      <c r="AU168" s="280" t="s">
        <v>272</v>
      </c>
      <c r="AY168" s="190" t="s">
        <v>340</v>
      </c>
      <c r="BE168" s="281">
        <f t="shared" si="24"/>
        <v>0</v>
      </c>
      <c r="BF168" s="281">
        <f t="shared" si="25"/>
        <v>0</v>
      </c>
      <c r="BG168" s="281">
        <f t="shared" si="26"/>
        <v>0</v>
      </c>
      <c r="BH168" s="281">
        <f t="shared" si="27"/>
        <v>0</v>
      </c>
      <c r="BI168" s="281">
        <f t="shared" si="28"/>
        <v>0</v>
      </c>
      <c r="BJ168" s="190" t="s">
        <v>338</v>
      </c>
      <c r="BK168" s="281">
        <f t="shared" si="29"/>
        <v>0</v>
      </c>
      <c r="BL168" s="190" t="s">
        <v>66</v>
      </c>
      <c r="BM168" s="280" t="s">
        <v>483</v>
      </c>
    </row>
    <row r="169" spans="2:65" s="198" customFormat="1" ht="24.2" customHeight="1" x14ac:dyDescent="0.2">
      <c r="B169" s="268"/>
      <c r="C169" s="269" t="s">
        <v>484</v>
      </c>
      <c r="D169" s="269" t="s">
        <v>343</v>
      </c>
      <c r="E169" s="270" t="s">
        <v>485</v>
      </c>
      <c r="F169" s="271" t="s">
        <v>486</v>
      </c>
      <c r="G169" s="272" t="s">
        <v>200</v>
      </c>
      <c r="H169" s="273">
        <v>8.0000000000000002E-3</v>
      </c>
      <c r="I169" s="274"/>
      <c r="J169" s="274">
        <f t="shared" si="20"/>
        <v>0</v>
      </c>
      <c r="K169" s="275"/>
      <c r="L169" s="197"/>
      <c r="M169" s="276" t="s">
        <v>279</v>
      </c>
      <c r="N169" s="277" t="s">
        <v>295</v>
      </c>
      <c r="O169" s="278">
        <v>0.77200000000000002</v>
      </c>
      <c r="P169" s="278">
        <f t="shared" si="21"/>
        <v>6.1760000000000001E-3</v>
      </c>
      <c r="Q169" s="278">
        <v>0</v>
      </c>
      <c r="R169" s="278">
        <f t="shared" si="22"/>
        <v>0</v>
      </c>
      <c r="S169" s="278">
        <v>0</v>
      </c>
      <c r="T169" s="279">
        <f t="shared" si="23"/>
        <v>0</v>
      </c>
      <c r="AR169" s="280" t="s">
        <v>66</v>
      </c>
      <c r="AT169" s="280" t="s">
        <v>343</v>
      </c>
      <c r="AU169" s="280" t="s">
        <v>272</v>
      </c>
      <c r="AY169" s="190" t="s">
        <v>340</v>
      </c>
      <c r="BE169" s="281">
        <f t="shared" si="24"/>
        <v>0</v>
      </c>
      <c r="BF169" s="281">
        <f t="shared" si="25"/>
        <v>0</v>
      </c>
      <c r="BG169" s="281">
        <f t="shared" si="26"/>
        <v>0</v>
      </c>
      <c r="BH169" s="281">
        <f t="shared" si="27"/>
        <v>0</v>
      </c>
      <c r="BI169" s="281">
        <f t="shared" si="28"/>
        <v>0</v>
      </c>
      <c r="BJ169" s="190" t="s">
        <v>338</v>
      </c>
      <c r="BK169" s="281">
        <f t="shared" si="29"/>
        <v>0</v>
      </c>
      <c r="BL169" s="190" t="s">
        <v>66</v>
      </c>
      <c r="BM169" s="280" t="s">
        <v>487</v>
      </c>
    </row>
    <row r="170" spans="2:65" s="198" customFormat="1" ht="24.2" customHeight="1" x14ac:dyDescent="0.2">
      <c r="B170" s="268"/>
      <c r="C170" s="269" t="s">
        <v>488</v>
      </c>
      <c r="D170" s="269" t="s">
        <v>343</v>
      </c>
      <c r="E170" s="270" t="s">
        <v>489</v>
      </c>
      <c r="F170" s="271" t="s">
        <v>490</v>
      </c>
      <c r="G170" s="272" t="s">
        <v>200</v>
      </c>
      <c r="H170" s="273">
        <v>8.0000000000000002E-3</v>
      </c>
      <c r="I170" s="274"/>
      <c r="J170" s="274">
        <f t="shared" si="20"/>
        <v>0</v>
      </c>
      <c r="K170" s="275"/>
      <c r="L170" s="197"/>
      <c r="M170" s="276" t="s">
        <v>279</v>
      </c>
      <c r="N170" s="277" t="s">
        <v>295</v>
      </c>
      <c r="O170" s="278">
        <v>8.0000000000000002E-3</v>
      </c>
      <c r="P170" s="278">
        <f t="shared" si="21"/>
        <v>6.3999999999999997E-5</v>
      </c>
      <c r="Q170" s="278">
        <v>0</v>
      </c>
      <c r="R170" s="278">
        <f t="shared" si="22"/>
        <v>0</v>
      </c>
      <c r="S170" s="278">
        <v>0</v>
      </c>
      <c r="T170" s="279">
        <f t="shared" si="23"/>
        <v>0</v>
      </c>
      <c r="AR170" s="280" t="s">
        <v>66</v>
      </c>
      <c r="AT170" s="280" t="s">
        <v>343</v>
      </c>
      <c r="AU170" s="280" t="s">
        <v>272</v>
      </c>
      <c r="AY170" s="190" t="s">
        <v>340</v>
      </c>
      <c r="BE170" s="281">
        <f t="shared" si="24"/>
        <v>0</v>
      </c>
      <c r="BF170" s="281">
        <f t="shared" si="25"/>
        <v>0</v>
      </c>
      <c r="BG170" s="281">
        <f t="shared" si="26"/>
        <v>0</v>
      </c>
      <c r="BH170" s="281">
        <f t="shared" si="27"/>
        <v>0</v>
      </c>
      <c r="BI170" s="281">
        <f t="shared" si="28"/>
        <v>0</v>
      </c>
      <c r="BJ170" s="190" t="s">
        <v>338</v>
      </c>
      <c r="BK170" s="281">
        <f t="shared" si="29"/>
        <v>0</v>
      </c>
      <c r="BL170" s="190" t="s">
        <v>66</v>
      </c>
      <c r="BM170" s="280" t="s">
        <v>491</v>
      </c>
    </row>
    <row r="171" spans="2:65" s="198" customFormat="1" ht="33" customHeight="1" x14ac:dyDescent="0.2">
      <c r="B171" s="268"/>
      <c r="C171" s="269" t="s">
        <v>43</v>
      </c>
      <c r="D171" s="269" t="s">
        <v>343</v>
      </c>
      <c r="E171" s="270" t="s">
        <v>492</v>
      </c>
      <c r="F171" s="271" t="s">
        <v>493</v>
      </c>
      <c r="G171" s="272" t="s">
        <v>200</v>
      </c>
      <c r="H171" s="273">
        <v>8.0000000000000002E-3</v>
      </c>
      <c r="I171" s="274"/>
      <c r="J171" s="274">
        <f t="shared" si="20"/>
        <v>0</v>
      </c>
      <c r="K171" s="275"/>
      <c r="L171" s="197"/>
      <c r="M171" s="276" t="s">
        <v>279</v>
      </c>
      <c r="N171" s="277" t="s">
        <v>295</v>
      </c>
      <c r="O171" s="278">
        <v>0</v>
      </c>
      <c r="P171" s="278">
        <f t="shared" si="21"/>
        <v>0</v>
      </c>
      <c r="Q171" s="278">
        <v>0</v>
      </c>
      <c r="R171" s="278">
        <f t="shared" si="22"/>
        <v>0</v>
      </c>
      <c r="S171" s="278">
        <v>0</v>
      </c>
      <c r="T171" s="279">
        <f t="shared" si="23"/>
        <v>0</v>
      </c>
      <c r="AR171" s="280" t="s">
        <v>66</v>
      </c>
      <c r="AT171" s="280" t="s">
        <v>343</v>
      </c>
      <c r="AU171" s="280" t="s">
        <v>272</v>
      </c>
      <c r="AY171" s="190" t="s">
        <v>340</v>
      </c>
      <c r="BE171" s="281">
        <f t="shared" si="24"/>
        <v>0</v>
      </c>
      <c r="BF171" s="281">
        <f t="shared" si="25"/>
        <v>0</v>
      </c>
      <c r="BG171" s="281">
        <f t="shared" si="26"/>
        <v>0</v>
      </c>
      <c r="BH171" s="281">
        <f t="shared" si="27"/>
        <v>0</v>
      </c>
      <c r="BI171" s="281">
        <f t="shared" si="28"/>
        <v>0</v>
      </c>
      <c r="BJ171" s="190" t="s">
        <v>338</v>
      </c>
      <c r="BK171" s="281">
        <f t="shared" si="29"/>
        <v>0</v>
      </c>
      <c r="BL171" s="190" t="s">
        <v>66</v>
      </c>
      <c r="BM171" s="280" t="s">
        <v>494</v>
      </c>
    </row>
    <row r="172" spans="2:65" s="257" customFormat="1" ht="22.9" customHeight="1" x14ac:dyDescent="0.2">
      <c r="B172" s="256"/>
      <c r="D172" s="258" t="s">
        <v>336</v>
      </c>
      <c r="E172" s="266" t="s">
        <v>495</v>
      </c>
      <c r="F172" s="266" t="s">
        <v>496</v>
      </c>
      <c r="J172" s="267">
        <f>BK172</f>
        <v>0</v>
      </c>
      <c r="L172" s="256"/>
      <c r="M172" s="261"/>
      <c r="P172" s="262">
        <f>P173</f>
        <v>0.16</v>
      </c>
      <c r="R172" s="262">
        <f>R173</f>
        <v>0</v>
      </c>
      <c r="T172" s="263">
        <f>T173</f>
        <v>0</v>
      </c>
      <c r="AR172" s="258" t="s">
        <v>351</v>
      </c>
      <c r="AT172" s="264" t="s">
        <v>336</v>
      </c>
      <c r="AU172" s="264" t="s">
        <v>338</v>
      </c>
      <c r="AY172" s="258" t="s">
        <v>340</v>
      </c>
      <c r="BK172" s="265">
        <f>BK173</f>
        <v>0</v>
      </c>
    </row>
    <row r="173" spans="2:65" s="198" customFormat="1" ht="16.5" customHeight="1" x14ac:dyDescent="0.2">
      <c r="B173" s="268"/>
      <c r="C173" s="269" t="s">
        <v>497</v>
      </c>
      <c r="D173" s="269" t="s">
        <v>343</v>
      </c>
      <c r="E173" s="270" t="s">
        <v>498</v>
      </c>
      <c r="F173" s="271" t="s">
        <v>499</v>
      </c>
      <c r="G173" s="272" t="s">
        <v>151</v>
      </c>
      <c r="H173" s="273">
        <v>1</v>
      </c>
      <c r="I173" s="274"/>
      <c r="J173" s="274">
        <f>ROUND(I173*H173,2)</f>
        <v>0</v>
      </c>
      <c r="K173" s="275"/>
      <c r="L173" s="197"/>
      <c r="M173" s="276" t="s">
        <v>279</v>
      </c>
      <c r="N173" s="277" t="s">
        <v>295</v>
      </c>
      <c r="O173" s="278">
        <v>0.16</v>
      </c>
      <c r="P173" s="278">
        <f>O173*H173</f>
        <v>0.16</v>
      </c>
      <c r="Q173" s="278">
        <v>0</v>
      </c>
      <c r="R173" s="278">
        <f>Q173*H173</f>
        <v>0</v>
      </c>
      <c r="S173" s="278">
        <v>0</v>
      </c>
      <c r="T173" s="279">
        <f>S173*H173</f>
        <v>0</v>
      </c>
      <c r="AR173" s="280" t="s">
        <v>66</v>
      </c>
      <c r="AT173" s="280" t="s">
        <v>343</v>
      </c>
      <c r="AU173" s="280" t="s">
        <v>272</v>
      </c>
      <c r="AY173" s="190" t="s">
        <v>340</v>
      </c>
      <c r="BE173" s="281">
        <f>IF(N173="základní",J173,0)</f>
        <v>0</v>
      </c>
      <c r="BF173" s="281">
        <f>IF(N173="snížená",J173,0)</f>
        <v>0</v>
      </c>
      <c r="BG173" s="281">
        <f>IF(N173="zákl. přenesená",J173,0)</f>
        <v>0</v>
      </c>
      <c r="BH173" s="281">
        <f>IF(N173="sníž. přenesená",J173,0)</f>
        <v>0</v>
      </c>
      <c r="BI173" s="281">
        <f>IF(N173="nulová",J173,0)</f>
        <v>0</v>
      </c>
      <c r="BJ173" s="190" t="s">
        <v>338</v>
      </c>
      <c r="BK173" s="281">
        <f>ROUND(I173*H173,2)</f>
        <v>0</v>
      </c>
      <c r="BL173" s="190" t="s">
        <v>66</v>
      </c>
      <c r="BM173" s="280" t="s">
        <v>500</v>
      </c>
    </row>
    <row r="174" spans="2:65" s="257" customFormat="1" ht="25.9" customHeight="1" x14ac:dyDescent="0.2">
      <c r="B174" s="256"/>
      <c r="D174" s="258" t="s">
        <v>336</v>
      </c>
      <c r="E174" s="259" t="s">
        <v>49</v>
      </c>
      <c r="F174" s="259" t="s">
        <v>501</v>
      </c>
      <c r="J174" s="260">
        <f>SUM(J175,J177)</f>
        <v>0</v>
      </c>
      <c r="L174" s="256"/>
      <c r="M174" s="261"/>
      <c r="P174" s="262" t="e">
        <f>P175+P177+#REF!</f>
        <v>#REF!</v>
      </c>
      <c r="R174" s="262" t="e">
        <f>R175+R177+#REF!</f>
        <v>#REF!</v>
      </c>
      <c r="T174" s="263" t="e">
        <f>T175+T177+#REF!</f>
        <v>#REF!</v>
      </c>
      <c r="AR174" s="258" t="s">
        <v>360</v>
      </c>
      <c r="AT174" s="264" t="s">
        <v>336</v>
      </c>
      <c r="AU174" s="264" t="s">
        <v>339</v>
      </c>
      <c r="AY174" s="258" t="s">
        <v>340</v>
      </c>
      <c r="BK174" s="265" t="e">
        <f>BK175+BK177+#REF!</f>
        <v>#REF!</v>
      </c>
    </row>
    <row r="175" spans="2:65" s="257" customFormat="1" ht="22.9" customHeight="1" x14ac:dyDescent="0.2">
      <c r="B175" s="256"/>
      <c r="D175" s="258" t="s">
        <v>336</v>
      </c>
      <c r="E175" s="266" t="s">
        <v>502</v>
      </c>
      <c r="F175" s="266" t="s">
        <v>503</v>
      </c>
      <c r="J175" s="267">
        <f>BK175</f>
        <v>0</v>
      </c>
      <c r="L175" s="256"/>
      <c r="M175" s="261"/>
      <c r="P175" s="262">
        <f>P176</f>
        <v>0</v>
      </c>
      <c r="R175" s="262">
        <f>R176</f>
        <v>0</v>
      </c>
      <c r="T175" s="263">
        <f>T176</f>
        <v>0</v>
      </c>
      <c r="AR175" s="258" t="s">
        <v>360</v>
      </c>
      <c r="AT175" s="264" t="s">
        <v>336</v>
      </c>
      <c r="AU175" s="264" t="s">
        <v>338</v>
      </c>
      <c r="AY175" s="258" t="s">
        <v>340</v>
      </c>
      <c r="BK175" s="265">
        <f>BK176</f>
        <v>0</v>
      </c>
    </row>
    <row r="176" spans="2:65" s="198" customFormat="1" ht="16.5" customHeight="1" x14ac:dyDescent="0.2">
      <c r="B176" s="268"/>
      <c r="C176" s="269" t="s">
        <v>504</v>
      </c>
      <c r="D176" s="269" t="s">
        <v>343</v>
      </c>
      <c r="E176" s="270" t="s">
        <v>505</v>
      </c>
      <c r="F176" s="271" t="s">
        <v>506</v>
      </c>
      <c r="G176" s="272" t="s">
        <v>151</v>
      </c>
      <c r="H176" s="273">
        <v>1</v>
      </c>
      <c r="I176" s="274"/>
      <c r="J176" s="274">
        <f>ROUND(I176*H176,2)</f>
        <v>0</v>
      </c>
      <c r="K176" s="275"/>
      <c r="L176" s="197"/>
      <c r="M176" s="276" t="s">
        <v>279</v>
      </c>
      <c r="N176" s="277" t="s">
        <v>295</v>
      </c>
      <c r="O176" s="278">
        <v>0</v>
      </c>
      <c r="P176" s="278">
        <f>O176*H176</f>
        <v>0</v>
      </c>
      <c r="Q176" s="278">
        <v>0</v>
      </c>
      <c r="R176" s="278">
        <f>Q176*H176</f>
        <v>0</v>
      </c>
      <c r="S176" s="278">
        <v>0</v>
      </c>
      <c r="T176" s="279">
        <f>S176*H176</f>
        <v>0</v>
      </c>
      <c r="AR176" s="280" t="s">
        <v>507</v>
      </c>
      <c r="AT176" s="280" t="s">
        <v>343</v>
      </c>
      <c r="AU176" s="280" t="s">
        <v>272</v>
      </c>
      <c r="AY176" s="190" t="s">
        <v>340</v>
      </c>
      <c r="BE176" s="281">
        <f>IF(N176="základní",J176,0)</f>
        <v>0</v>
      </c>
      <c r="BF176" s="281">
        <f>IF(N176="snížená",J176,0)</f>
        <v>0</v>
      </c>
      <c r="BG176" s="281">
        <f>IF(N176="zákl. přenesená",J176,0)</f>
        <v>0</v>
      </c>
      <c r="BH176" s="281">
        <f>IF(N176="sníž. přenesená",J176,0)</f>
        <v>0</v>
      </c>
      <c r="BI176" s="281">
        <f>IF(N176="nulová",J176,0)</f>
        <v>0</v>
      </c>
      <c r="BJ176" s="190" t="s">
        <v>338</v>
      </c>
      <c r="BK176" s="281">
        <f>ROUND(I176*H176,2)</f>
        <v>0</v>
      </c>
      <c r="BL176" s="190" t="s">
        <v>507</v>
      </c>
      <c r="BM176" s="280" t="s">
        <v>508</v>
      </c>
    </row>
    <row r="177" spans="2:65" s="257" customFormat="1" ht="22.9" customHeight="1" x14ac:dyDescent="0.2">
      <c r="B177" s="256"/>
      <c r="D177" s="258" t="s">
        <v>336</v>
      </c>
      <c r="E177" s="266" t="s">
        <v>509</v>
      </c>
      <c r="F177" s="266" t="s">
        <v>510</v>
      </c>
      <c r="J177" s="267">
        <f>BK177</f>
        <v>0</v>
      </c>
      <c r="L177" s="256"/>
      <c r="M177" s="261"/>
      <c r="P177" s="262">
        <f>P178</f>
        <v>0</v>
      </c>
      <c r="R177" s="262">
        <f>R178</f>
        <v>0</v>
      </c>
      <c r="T177" s="263">
        <f>T178</f>
        <v>0</v>
      </c>
      <c r="AR177" s="258" t="s">
        <v>360</v>
      </c>
      <c r="AT177" s="264" t="s">
        <v>336</v>
      </c>
      <c r="AU177" s="264" t="s">
        <v>338</v>
      </c>
      <c r="AY177" s="258" t="s">
        <v>340</v>
      </c>
      <c r="BK177" s="265">
        <f>BK178</f>
        <v>0</v>
      </c>
    </row>
    <row r="178" spans="2:65" s="198" customFormat="1" ht="16.5" customHeight="1" x14ac:dyDescent="0.2">
      <c r="B178" s="268"/>
      <c r="C178" s="269" t="s">
        <v>511</v>
      </c>
      <c r="D178" s="269" t="s">
        <v>343</v>
      </c>
      <c r="E178" s="270" t="s">
        <v>512</v>
      </c>
      <c r="F178" s="271" t="s">
        <v>513</v>
      </c>
      <c r="G178" s="272" t="s">
        <v>191</v>
      </c>
      <c r="H178" s="273">
        <v>6.5</v>
      </c>
      <c r="I178" s="274"/>
      <c r="J178" s="274">
        <f>ROUND(I178*H178,2)</f>
        <v>0</v>
      </c>
      <c r="K178" s="275"/>
      <c r="L178" s="197"/>
      <c r="M178" s="276" t="s">
        <v>279</v>
      </c>
      <c r="N178" s="277" t="s">
        <v>295</v>
      </c>
      <c r="O178" s="278">
        <v>0</v>
      </c>
      <c r="P178" s="278">
        <f>O178*H178</f>
        <v>0</v>
      </c>
      <c r="Q178" s="278">
        <v>0</v>
      </c>
      <c r="R178" s="278">
        <f>Q178*H178</f>
        <v>0</v>
      </c>
      <c r="S178" s="278">
        <v>0</v>
      </c>
      <c r="T178" s="279">
        <f>S178*H178</f>
        <v>0</v>
      </c>
      <c r="AR178" s="280" t="s">
        <v>507</v>
      </c>
      <c r="AT178" s="280" t="s">
        <v>343</v>
      </c>
      <c r="AU178" s="280" t="s">
        <v>272</v>
      </c>
      <c r="AY178" s="190" t="s">
        <v>340</v>
      </c>
      <c r="BE178" s="281">
        <f>IF(N178="základní",J178,0)</f>
        <v>0</v>
      </c>
      <c r="BF178" s="281">
        <f>IF(N178="snížená",J178,0)</f>
        <v>0</v>
      </c>
      <c r="BG178" s="281">
        <f>IF(N178="zákl. přenesená",J178,0)</f>
        <v>0</v>
      </c>
      <c r="BH178" s="281">
        <f>IF(N178="sníž. přenesená",J178,0)</f>
        <v>0</v>
      </c>
      <c r="BI178" s="281">
        <f>IF(N178="nulová",J178,0)</f>
        <v>0</v>
      </c>
      <c r="BJ178" s="190" t="s">
        <v>338</v>
      </c>
      <c r="BK178" s="281">
        <f>ROUND(I178*H178,2)</f>
        <v>0</v>
      </c>
      <c r="BL178" s="190" t="s">
        <v>507</v>
      </c>
      <c r="BM178" s="280" t="s">
        <v>514</v>
      </c>
    </row>
    <row r="179" spans="2:65" s="198" customFormat="1" ht="6.95" customHeight="1" x14ac:dyDescent="0.2">
      <c r="B179" s="224"/>
      <c r="C179" s="225"/>
      <c r="D179" s="225"/>
      <c r="E179" s="225"/>
      <c r="F179" s="225"/>
      <c r="G179" s="225"/>
      <c r="H179" s="225"/>
      <c r="I179" s="225"/>
      <c r="J179" s="225"/>
      <c r="K179" s="225"/>
      <c r="L179" s="197"/>
    </row>
  </sheetData>
  <autoFilter ref="C127:K178" xr:uid="{00000000-0009-0000-0000-000001000000}"/>
  <mergeCells count="9">
    <mergeCell ref="E87:H87"/>
    <mergeCell ref="E118:H118"/>
    <mergeCell ref="E120:H12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1D27D-1DF1-4123-B25C-A5C5CB680161}">
  <sheetPr>
    <pageSetUpPr fitToPage="1"/>
  </sheetPr>
  <dimension ref="B2:BM151"/>
  <sheetViews>
    <sheetView showGridLines="0" topLeftCell="A80" workbookViewId="0">
      <selection activeCell="I129" sqref="I126:I129"/>
    </sheetView>
  </sheetViews>
  <sheetFormatPr defaultRowHeight="11.25" x14ac:dyDescent="0.2"/>
  <cols>
    <col min="1" max="1" width="7.140625" style="189" customWidth="1"/>
    <col min="2" max="2" width="1" style="189" customWidth="1"/>
    <col min="3" max="3" width="3.5703125" style="189" customWidth="1"/>
    <col min="4" max="4" width="3.7109375" style="189" customWidth="1"/>
    <col min="5" max="5" width="14.7109375" style="189" customWidth="1"/>
    <col min="6" max="6" width="43.5703125" style="189" customWidth="1"/>
    <col min="7" max="7" width="6.42578125" style="189" customWidth="1"/>
    <col min="8" max="8" width="12" style="189" customWidth="1"/>
    <col min="9" max="9" width="13.5703125" style="189" customWidth="1"/>
    <col min="10" max="10" width="19.140625" style="189" customWidth="1"/>
    <col min="11" max="11" width="19.140625" style="189" hidden="1" customWidth="1"/>
    <col min="12" max="12" width="8" style="189" customWidth="1"/>
    <col min="13" max="13" width="9.28515625" style="189" hidden="1" customWidth="1"/>
    <col min="14" max="14" width="9.140625" style="189"/>
    <col min="15" max="20" width="12.140625" style="189" hidden="1" customWidth="1"/>
    <col min="21" max="21" width="14" style="189" hidden="1" customWidth="1"/>
    <col min="22" max="22" width="10.5703125" style="189" customWidth="1"/>
    <col min="23" max="23" width="14" style="189" customWidth="1"/>
    <col min="24" max="24" width="10.5703125" style="189" customWidth="1"/>
    <col min="25" max="25" width="12.85546875" style="189" customWidth="1"/>
    <col min="26" max="26" width="9.42578125" style="189" customWidth="1"/>
    <col min="27" max="27" width="12.85546875" style="189" customWidth="1"/>
    <col min="28" max="28" width="14" style="189" customWidth="1"/>
    <col min="29" max="29" width="9.42578125" style="189" customWidth="1"/>
    <col min="30" max="30" width="12.85546875" style="189" customWidth="1"/>
    <col min="31" max="31" width="14" style="189" customWidth="1"/>
    <col min="32" max="16384" width="9.140625" style="189"/>
  </cols>
  <sheetData>
    <row r="2" spans="2:46" ht="36.950000000000003" customHeight="1" x14ac:dyDescent="0.2">
      <c r="L2" s="390" t="s">
        <v>270</v>
      </c>
      <c r="M2" s="391"/>
      <c r="N2" s="391"/>
      <c r="O2" s="391"/>
      <c r="P2" s="391"/>
      <c r="Q2" s="391"/>
      <c r="R2" s="391"/>
      <c r="S2" s="391"/>
      <c r="T2" s="391"/>
      <c r="U2" s="391"/>
      <c r="V2" s="391"/>
      <c r="AT2" s="190" t="s">
        <v>515</v>
      </c>
    </row>
    <row r="3" spans="2:46" ht="6.95" customHeight="1" x14ac:dyDescent="0.2">
      <c r="B3" s="191"/>
      <c r="C3" s="192"/>
      <c r="D3" s="192"/>
      <c r="E3" s="192"/>
      <c r="F3" s="192"/>
      <c r="G3" s="192"/>
      <c r="H3" s="192"/>
      <c r="I3" s="192"/>
      <c r="J3" s="192"/>
      <c r="K3" s="192"/>
      <c r="L3" s="193"/>
      <c r="AT3" s="190" t="s">
        <v>272</v>
      </c>
    </row>
    <row r="4" spans="2:46" ht="24.95" customHeight="1" x14ac:dyDescent="0.2">
      <c r="B4" s="193"/>
      <c r="D4" s="194" t="s">
        <v>273</v>
      </c>
      <c r="L4" s="193"/>
      <c r="M4" s="195" t="s">
        <v>274</v>
      </c>
      <c r="AT4" s="190" t="s">
        <v>275</v>
      </c>
    </row>
    <row r="5" spans="2:46" ht="6.95" customHeight="1" x14ac:dyDescent="0.2">
      <c r="B5" s="193"/>
      <c r="L5" s="193"/>
    </row>
    <row r="6" spans="2:46" ht="12" customHeight="1" x14ac:dyDescent="0.2">
      <c r="B6" s="193"/>
      <c r="D6" s="196" t="s">
        <v>24</v>
      </c>
      <c r="L6" s="193"/>
    </row>
    <row r="7" spans="2:46" ht="16.5" customHeight="1" x14ac:dyDescent="0.2">
      <c r="B7" s="193"/>
      <c r="E7" s="388" t="str">
        <f>'[3]Rekapitulace stavby'!K6</f>
        <v>FN Bohunice-úprava evidence DTC</v>
      </c>
      <c r="F7" s="389"/>
      <c r="G7" s="389"/>
      <c r="H7" s="389"/>
      <c r="L7" s="193"/>
    </row>
    <row r="8" spans="2:46" s="198" customFormat="1" ht="12" customHeight="1" x14ac:dyDescent="0.2">
      <c r="B8" s="197"/>
      <c r="D8" s="196" t="s">
        <v>276</v>
      </c>
      <c r="L8" s="197"/>
    </row>
    <row r="9" spans="2:46" s="198" customFormat="1" ht="16.5" customHeight="1" x14ac:dyDescent="0.2">
      <c r="B9" s="197"/>
      <c r="E9" s="386" t="s">
        <v>516</v>
      </c>
      <c r="F9" s="387"/>
      <c r="G9" s="387"/>
      <c r="H9" s="387"/>
      <c r="L9" s="197"/>
    </row>
    <row r="10" spans="2:46" s="198" customFormat="1" x14ac:dyDescent="0.2">
      <c r="B10" s="197"/>
      <c r="L10" s="197"/>
    </row>
    <row r="11" spans="2:46" s="198" customFormat="1" ht="12" customHeight="1" x14ac:dyDescent="0.2">
      <c r="B11" s="197"/>
      <c r="D11" s="196" t="s">
        <v>278</v>
      </c>
      <c r="F11" s="199" t="s">
        <v>279</v>
      </c>
      <c r="I11" s="196" t="s">
        <v>280</v>
      </c>
      <c r="J11" s="199" t="s">
        <v>279</v>
      </c>
      <c r="L11" s="197"/>
    </row>
    <row r="12" spans="2:46" s="198" customFormat="1" ht="12" customHeight="1" x14ac:dyDescent="0.2">
      <c r="B12" s="197"/>
      <c r="D12" s="196" t="s">
        <v>281</v>
      </c>
      <c r="F12" s="199" t="s">
        <v>282</v>
      </c>
      <c r="I12" s="196" t="s">
        <v>283</v>
      </c>
      <c r="J12" s="200" t="str">
        <f>'[3]Rekapitulace stavby'!AN8</f>
        <v>25. 10. 2025</v>
      </c>
      <c r="L12" s="197"/>
    </row>
    <row r="13" spans="2:46" s="198" customFormat="1" ht="10.9" customHeight="1" x14ac:dyDescent="0.2">
      <c r="B13" s="197"/>
      <c r="L13" s="197"/>
    </row>
    <row r="14" spans="2:46" s="198" customFormat="1" ht="12" customHeight="1" x14ac:dyDescent="0.2">
      <c r="B14" s="197"/>
      <c r="D14" s="196" t="s">
        <v>284</v>
      </c>
      <c r="I14" s="196" t="s">
        <v>285</v>
      </c>
      <c r="J14" s="199" t="str">
        <f>IF('[3]Rekapitulace stavby'!AN10="","",'[3]Rekapitulace stavby'!AN10)</f>
        <v/>
      </c>
      <c r="L14" s="197"/>
    </row>
    <row r="15" spans="2:46" s="198" customFormat="1" ht="18" customHeight="1" x14ac:dyDescent="0.2">
      <c r="B15" s="197"/>
      <c r="E15" s="199" t="str">
        <f>IF('[3]Rekapitulace stavby'!E11="","",'[3]Rekapitulace stavby'!E11)</f>
        <v xml:space="preserve"> </v>
      </c>
      <c r="I15" s="196" t="s">
        <v>36</v>
      </c>
      <c r="J15" s="199" t="str">
        <f>IF('[3]Rekapitulace stavby'!AN11="","",'[3]Rekapitulace stavby'!AN11)</f>
        <v/>
      </c>
      <c r="L15" s="197"/>
    </row>
    <row r="16" spans="2:46" s="198" customFormat="1" ht="6.95" customHeight="1" x14ac:dyDescent="0.2">
      <c r="B16" s="197"/>
      <c r="L16" s="197"/>
    </row>
    <row r="17" spans="2:12" s="198" customFormat="1" ht="12" customHeight="1" x14ac:dyDescent="0.2">
      <c r="B17" s="197"/>
      <c r="D17" s="196" t="s">
        <v>20</v>
      </c>
      <c r="I17" s="196" t="s">
        <v>285</v>
      </c>
      <c r="J17" s="199" t="str">
        <f>'[3]Rekapitulace stavby'!AN13</f>
        <v/>
      </c>
      <c r="L17" s="197"/>
    </row>
    <row r="18" spans="2:12" s="198" customFormat="1" ht="18" customHeight="1" x14ac:dyDescent="0.2">
      <c r="B18" s="197"/>
      <c r="E18" s="392" t="str">
        <f>'[3]Rekapitulace stavby'!E14</f>
        <v xml:space="preserve"> </v>
      </c>
      <c r="F18" s="392"/>
      <c r="G18" s="392"/>
      <c r="H18" s="392"/>
      <c r="I18" s="196" t="s">
        <v>36</v>
      </c>
      <c r="J18" s="199" t="str">
        <f>'[3]Rekapitulace stavby'!AN14</f>
        <v/>
      </c>
      <c r="L18" s="197"/>
    </row>
    <row r="19" spans="2:12" s="198" customFormat="1" ht="6.95" customHeight="1" x14ac:dyDescent="0.2">
      <c r="B19" s="197"/>
      <c r="L19" s="197"/>
    </row>
    <row r="20" spans="2:12" s="198" customFormat="1" ht="12" customHeight="1" x14ac:dyDescent="0.2">
      <c r="B20" s="197"/>
      <c r="D20" s="196" t="s">
        <v>21</v>
      </c>
      <c r="I20" s="196" t="s">
        <v>285</v>
      </c>
      <c r="J20" s="199" t="s">
        <v>286</v>
      </c>
      <c r="L20" s="197"/>
    </row>
    <row r="21" spans="2:12" s="198" customFormat="1" ht="18" customHeight="1" x14ac:dyDescent="0.2">
      <c r="B21" s="197"/>
      <c r="E21" s="199" t="s">
        <v>287</v>
      </c>
      <c r="I21" s="196" t="s">
        <v>36</v>
      </c>
      <c r="J21" s="199" t="s">
        <v>279</v>
      </c>
      <c r="L21" s="197"/>
    </row>
    <row r="22" spans="2:12" s="198" customFormat="1" ht="6.95" customHeight="1" x14ac:dyDescent="0.2">
      <c r="B22" s="197"/>
      <c r="L22" s="197"/>
    </row>
    <row r="23" spans="2:12" s="198" customFormat="1" ht="12" customHeight="1" x14ac:dyDescent="0.2">
      <c r="B23" s="197"/>
      <c r="D23" s="196" t="s">
        <v>288</v>
      </c>
      <c r="I23" s="196" t="s">
        <v>285</v>
      </c>
      <c r="J23" s="199" t="s">
        <v>279</v>
      </c>
      <c r="L23" s="197"/>
    </row>
    <row r="24" spans="2:12" s="198" customFormat="1" ht="18" customHeight="1" x14ac:dyDescent="0.2">
      <c r="B24" s="197"/>
      <c r="E24" s="199" t="s">
        <v>289</v>
      </c>
      <c r="I24" s="196" t="s">
        <v>36</v>
      </c>
      <c r="J24" s="199" t="s">
        <v>279</v>
      </c>
      <c r="L24" s="197"/>
    </row>
    <row r="25" spans="2:12" s="198" customFormat="1" ht="6.95" customHeight="1" x14ac:dyDescent="0.2">
      <c r="B25" s="197"/>
      <c r="L25" s="197"/>
    </row>
    <row r="26" spans="2:12" s="198" customFormat="1" ht="12" customHeight="1" x14ac:dyDescent="0.2">
      <c r="B26" s="197"/>
      <c r="D26" s="196" t="s">
        <v>290</v>
      </c>
      <c r="L26" s="197"/>
    </row>
    <row r="27" spans="2:12" s="202" customFormat="1" ht="16.5" customHeight="1" x14ac:dyDescent="0.2">
      <c r="B27" s="201"/>
      <c r="E27" s="393" t="s">
        <v>279</v>
      </c>
      <c r="F27" s="393"/>
      <c r="G27" s="393"/>
      <c r="H27" s="393"/>
      <c r="L27" s="201"/>
    </row>
    <row r="28" spans="2:12" s="198" customFormat="1" ht="6.95" customHeight="1" x14ac:dyDescent="0.2">
      <c r="B28" s="197"/>
      <c r="L28" s="197"/>
    </row>
    <row r="29" spans="2:12" s="198" customFormat="1" ht="6.95" customHeight="1" x14ac:dyDescent="0.2">
      <c r="B29" s="197"/>
      <c r="D29" s="204"/>
      <c r="E29" s="204"/>
      <c r="F29" s="204"/>
      <c r="G29" s="204"/>
      <c r="H29" s="204"/>
      <c r="I29" s="204"/>
      <c r="J29" s="204"/>
      <c r="K29" s="204"/>
      <c r="L29" s="197"/>
    </row>
    <row r="30" spans="2:12" s="198" customFormat="1" ht="25.35" customHeight="1" x14ac:dyDescent="0.2">
      <c r="B30" s="197"/>
      <c r="D30" s="205" t="s">
        <v>291</v>
      </c>
      <c r="J30" s="206">
        <f>ROUND(J123, 2)</f>
        <v>0</v>
      </c>
      <c r="L30" s="197"/>
    </row>
    <row r="31" spans="2:12" s="198" customFormat="1" ht="6.95" customHeight="1" x14ac:dyDescent="0.2">
      <c r="B31" s="197"/>
      <c r="D31" s="204"/>
      <c r="E31" s="204"/>
      <c r="F31" s="204"/>
      <c r="G31" s="204"/>
      <c r="H31" s="204"/>
      <c r="I31" s="204"/>
      <c r="J31" s="204"/>
      <c r="K31" s="204"/>
      <c r="L31" s="197"/>
    </row>
    <row r="32" spans="2:12" s="198" customFormat="1" ht="14.45" customHeight="1" x14ac:dyDescent="0.2">
      <c r="B32" s="197"/>
      <c r="F32" s="207" t="s">
        <v>292</v>
      </c>
      <c r="I32" s="207" t="s">
        <v>293</v>
      </c>
      <c r="J32" s="207" t="s">
        <v>294</v>
      </c>
      <c r="L32" s="197"/>
    </row>
    <row r="33" spans="2:12" s="198" customFormat="1" ht="14.45" customHeight="1" x14ac:dyDescent="0.2">
      <c r="B33" s="197"/>
      <c r="D33" s="208" t="s">
        <v>101</v>
      </c>
      <c r="E33" s="196" t="s">
        <v>295</v>
      </c>
      <c r="F33" s="209">
        <f>ROUND((SUM(BE123:BE146)),  2)</f>
        <v>0</v>
      </c>
      <c r="I33" s="210">
        <v>0.21</v>
      </c>
      <c r="J33" s="209">
        <f>ROUND(((SUM(BE123:BE146))*I33),  2)</f>
        <v>0</v>
      </c>
      <c r="L33" s="197"/>
    </row>
    <row r="34" spans="2:12" s="198" customFormat="1" ht="14.45" customHeight="1" x14ac:dyDescent="0.2">
      <c r="B34" s="197"/>
      <c r="E34" s="196" t="s">
        <v>296</v>
      </c>
      <c r="F34" s="209">
        <f>ROUND((SUM(BF123:BF146)),  2)</f>
        <v>0</v>
      </c>
      <c r="I34" s="210">
        <v>0.12</v>
      </c>
      <c r="J34" s="209">
        <f>ROUND(((SUM(BF123:BF146))*I34),  2)</f>
        <v>0</v>
      </c>
      <c r="L34" s="197"/>
    </row>
    <row r="35" spans="2:12" s="198" customFormat="1" ht="14.45" hidden="1" customHeight="1" x14ac:dyDescent="0.2">
      <c r="B35" s="197"/>
      <c r="E35" s="196" t="s">
        <v>297</v>
      </c>
      <c r="F35" s="209">
        <f>ROUND((SUM(BG123:BG146)),  2)</f>
        <v>0</v>
      </c>
      <c r="I35" s="210">
        <v>0.21</v>
      </c>
      <c r="J35" s="209">
        <f>0</f>
        <v>0</v>
      </c>
      <c r="L35" s="197"/>
    </row>
    <row r="36" spans="2:12" s="198" customFormat="1" ht="14.45" hidden="1" customHeight="1" x14ac:dyDescent="0.2">
      <c r="B36" s="197"/>
      <c r="E36" s="196" t="s">
        <v>298</v>
      </c>
      <c r="F36" s="209">
        <f>ROUND((SUM(BH123:BH146)),  2)</f>
        <v>0</v>
      </c>
      <c r="I36" s="210">
        <v>0.12</v>
      </c>
      <c r="J36" s="209">
        <f>0</f>
        <v>0</v>
      </c>
      <c r="L36" s="197"/>
    </row>
    <row r="37" spans="2:12" s="198" customFormat="1" ht="14.45" hidden="1" customHeight="1" x14ac:dyDescent="0.2">
      <c r="B37" s="197"/>
      <c r="E37" s="196" t="s">
        <v>299</v>
      </c>
      <c r="F37" s="209">
        <f>ROUND((SUM(BI123:BI146)),  2)</f>
        <v>0</v>
      </c>
      <c r="I37" s="210">
        <v>0</v>
      </c>
      <c r="J37" s="209">
        <f>0</f>
        <v>0</v>
      </c>
      <c r="L37" s="197"/>
    </row>
    <row r="38" spans="2:12" s="198" customFormat="1" ht="6.95" customHeight="1" x14ac:dyDescent="0.2">
      <c r="B38" s="197"/>
      <c r="L38" s="197"/>
    </row>
    <row r="39" spans="2:12" s="198" customFormat="1" ht="25.35" customHeight="1" x14ac:dyDescent="0.2">
      <c r="B39" s="197"/>
      <c r="C39" s="211"/>
      <c r="D39" s="212" t="s">
        <v>102</v>
      </c>
      <c r="E39" s="213"/>
      <c r="F39" s="213"/>
      <c r="G39" s="214" t="s">
        <v>12</v>
      </c>
      <c r="H39" s="215" t="s">
        <v>52</v>
      </c>
      <c r="I39" s="213"/>
      <c r="J39" s="216">
        <f>SUM(J30:J37)</f>
        <v>0</v>
      </c>
      <c r="K39" s="217"/>
      <c r="L39" s="197"/>
    </row>
    <row r="40" spans="2:12" s="198" customFormat="1" ht="14.45" customHeight="1" x14ac:dyDescent="0.2">
      <c r="B40" s="197"/>
      <c r="L40" s="197"/>
    </row>
    <row r="41" spans="2:12" ht="14.45" customHeight="1" x14ac:dyDescent="0.2">
      <c r="B41" s="193"/>
      <c r="L41" s="193"/>
    </row>
    <row r="42" spans="2:12" ht="14.45" customHeight="1" x14ac:dyDescent="0.2">
      <c r="B42" s="193"/>
      <c r="L42" s="193"/>
    </row>
    <row r="43" spans="2:12" ht="14.45" customHeight="1" x14ac:dyDescent="0.2">
      <c r="B43" s="193"/>
      <c r="L43" s="193"/>
    </row>
    <row r="44" spans="2:12" ht="14.45" customHeight="1" x14ac:dyDescent="0.2">
      <c r="B44" s="193"/>
      <c r="L44" s="193"/>
    </row>
    <row r="45" spans="2:12" ht="14.45" customHeight="1" x14ac:dyDescent="0.2">
      <c r="B45" s="193"/>
      <c r="L45" s="193"/>
    </row>
    <row r="46" spans="2:12" ht="14.45" customHeight="1" x14ac:dyDescent="0.2">
      <c r="B46" s="193"/>
      <c r="L46" s="193"/>
    </row>
    <row r="47" spans="2:12" ht="14.45" customHeight="1" x14ac:dyDescent="0.2">
      <c r="B47" s="193"/>
      <c r="L47" s="193"/>
    </row>
    <row r="48" spans="2:12" ht="14.45" customHeight="1" x14ac:dyDescent="0.2">
      <c r="B48" s="193"/>
      <c r="L48" s="193"/>
    </row>
    <row r="49" spans="2:12" ht="14.45" customHeight="1" x14ac:dyDescent="0.2">
      <c r="B49" s="193"/>
      <c r="L49" s="193"/>
    </row>
    <row r="50" spans="2:12" s="198" customFormat="1" ht="14.45" customHeight="1" x14ac:dyDescent="0.2">
      <c r="B50" s="197"/>
      <c r="D50" s="218" t="s">
        <v>300</v>
      </c>
      <c r="E50" s="219"/>
      <c r="F50" s="219"/>
      <c r="G50" s="218" t="s">
        <v>301</v>
      </c>
      <c r="H50" s="219"/>
      <c r="I50" s="219"/>
      <c r="J50" s="219"/>
      <c r="K50" s="219"/>
      <c r="L50" s="197"/>
    </row>
    <row r="51" spans="2:12" x14ac:dyDescent="0.2">
      <c r="B51" s="193"/>
      <c r="L51" s="193"/>
    </row>
    <row r="52" spans="2:12" x14ac:dyDescent="0.2">
      <c r="B52" s="193"/>
      <c r="L52" s="193"/>
    </row>
    <row r="53" spans="2:12" x14ac:dyDescent="0.2">
      <c r="B53" s="193"/>
      <c r="L53" s="193"/>
    </row>
    <row r="54" spans="2:12" x14ac:dyDescent="0.2">
      <c r="B54" s="193"/>
      <c r="L54" s="193"/>
    </row>
    <row r="55" spans="2:12" x14ac:dyDescent="0.2">
      <c r="B55" s="193"/>
      <c r="L55" s="193"/>
    </row>
    <row r="56" spans="2:12" x14ac:dyDescent="0.2">
      <c r="B56" s="193"/>
      <c r="L56" s="193"/>
    </row>
    <row r="57" spans="2:12" x14ac:dyDescent="0.2">
      <c r="B57" s="193"/>
      <c r="L57" s="193"/>
    </row>
    <row r="58" spans="2:12" x14ac:dyDescent="0.2">
      <c r="B58" s="193"/>
      <c r="L58" s="193"/>
    </row>
    <row r="59" spans="2:12" x14ac:dyDescent="0.2">
      <c r="B59" s="193"/>
      <c r="L59" s="193"/>
    </row>
    <row r="60" spans="2:12" x14ac:dyDescent="0.2">
      <c r="B60" s="193"/>
      <c r="L60" s="193"/>
    </row>
    <row r="61" spans="2:12" s="198" customFormat="1" ht="12.75" x14ac:dyDescent="0.2">
      <c r="B61" s="197"/>
      <c r="D61" s="220" t="s">
        <v>302</v>
      </c>
      <c r="E61" s="221"/>
      <c r="F61" s="222" t="s">
        <v>303</v>
      </c>
      <c r="G61" s="220" t="s">
        <v>302</v>
      </c>
      <c r="H61" s="221"/>
      <c r="I61" s="221"/>
      <c r="J61" s="223" t="s">
        <v>303</v>
      </c>
      <c r="K61" s="221"/>
      <c r="L61" s="197"/>
    </row>
    <row r="62" spans="2:12" x14ac:dyDescent="0.2">
      <c r="B62" s="193"/>
      <c r="L62" s="193"/>
    </row>
    <row r="63" spans="2:12" x14ac:dyDescent="0.2">
      <c r="B63" s="193"/>
      <c r="L63" s="193"/>
    </row>
    <row r="64" spans="2:12" x14ac:dyDescent="0.2">
      <c r="B64" s="193"/>
      <c r="L64" s="193"/>
    </row>
    <row r="65" spans="2:12" s="198" customFormat="1" ht="12.75" x14ac:dyDescent="0.2">
      <c r="B65" s="197"/>
      <c r="D65" s="218" t="s">
        <v>304</v>
      </c>
      <c r="E65" s="219"/>
      <c r="F65" s="219"/>
      <c r="G65" s="218" t="s">
        <v>305</v>
      </c>
      <c r="H65" s="219"/>
      <c r="I65" s="219"/>
      <c r="J65" s="219"/>
      <c r="K65" s="219"/>
      <c r="L65" s="197"/>
    </row>
    <row r="66" spans="2:12" x14ac:dyDescent="0.2">
      <c r="B66" s="193"/>
      <c r="L66" s="193"/>
    </row>
    <row r="67" spans="2:12" x14ac:dyDescent="0.2">
      <c r="B67" s="193"/>
      <c r="L67" s="193"/>
    </row>
    <row r="68" spans="2:12" x14ac:dyDescent="0.2">
      <c r="B68" s="193"/>
      <c r="L68" s="193"/>
    </row>
    <row r="69" spans="2:12" x14ac:dyDescent="0.2">
      <c r="B69" s="193"/>
      <c r="L69" s="193"/>
    </row>
    <row r="70" spans="2:12" x14ac:dyDescent="0.2">
      <c r="B70" s="193"/>
      <c r="L70" s="193"/>
    </row>
    <row r="71" spans="2:12" x14ac:dyDescent="0.2">
      <c r="B71" s="193"/>
      <c r="L71" s="193"/>
    </row>
    <row r="72" spans="2:12" x14ac:dyDescent="0.2">
      <c r="B72" s="193"/>
      <c r="L72" s="193"/>
    </row>
    <row r="73" spans="2:12" x14ac:dyDescent="0.2">
      <c r="B73" s="193"/>
      <c r="L73" s="193"/>
    </row>
    <row r="74" spans="2:12" x14ac:dyDescent="0.2">
      <c r="B74" s="193"/>
      <c r="L74" s="193"/>
    </row>
    <row r="75" spans="2:12" x14ac:dyDescent="0.2">
      <c r="B75" s="193"/>
      <c r="L75" s="193"/>
    </row>
    <row r="76" spans="2:12" s="198" customFormat="1" ht="12.75" x14ac:dyDescent="0.2">
      <c r="B76" s="197"/>
      <c r="D76" s="220" t="s">
        <v>302</v>
      </c>
      <c r="E76" s="221"/>
      <c r="F76" s="222" t="s">
        <v>303</v>
      </c>
      <c r="G76" s="220" t="s">
        <v>302</v>
      </c>
      <c r="H76" s="221"/>
      <c r="I76" s="221"/>
      <c r="J76" s="223" t="s">
        <v>303</v>
      </c>
      <c r="K76" s="221"/>
      <c r="L76" s="197"/>
    </row>
    <row r="77" spans="2:12" s="198" customFormat="1" ht="14.45" customHeight="1" x14ac:dyDescent="0.2">
      <c r="B77" s="224"/>
      <c r="C77" s="225"/>
      <c r="D77" s="225"/>
      <c r="E77" s="225"/>
      <c r="F77" s="225"/>
      <c r="G77" s="225"/>
      <c r="H77" s="225"/>
      <c r="I77" s="225"/>
      <c r="J77" s="225"/>
      <c r="K77" s="225"/>
      <c r="L77" s="197"/>
    </row>
    <row r="81" spans="2:47" s="198" customFormat="1" ht="6.95" customHeight="1" x14ac:dyDescent="0.2">
      <c r="B81" s="226"/>
      <c r="C81" s="227"/>
      <c r="D81" s="227"/>
      <c r="E81" s="227"/>
      <c r="F81" s="227"/>
      <c r="G81" s="227"/>
      <c r="H81" s="227"/>
      <c r="I81" s="227"/>
      <c r="J81" s="227"/>
      <c r="K81" s="227"/>
      <c r="L81" s="197"/>
    </row>
    <row r="82" spans="2:47" s="198" customFormat="1" ht="24.95" customHeight="1" x14ac:dyDescent="0.2">
      <c r="B82" s="197"/>
      <c r="C82" s="194" t="s">
        <v>306</v>
      </c>
      <c r="L82" s="197"/>
    </row>
    <row r="83" spans="2:47" s="198" customFormat="1" ht="6.95" customHeight="1" x14ac:dyDescent="0.2">
      <c r="B83" s="197"/>
      <c r="L83" s="197"/>
    </row>
    <row r="84" spans="2:47" s="198" customFormat="1" ht="12" customHeight="1" x14ac:dyDescent="0.2">
      <c r="B84" s="197"/>
      <c r="C84" s="196" t="s">
        <v>24</v>
      </c>
      <c r="L84" s="197"/>
    </row>
    <row r="85" spans="2:47" s="198" customFormat="1" ht="16.5" customHeight="1" x14ac:dyDescent="0.2">
      <c r="B85" s="197"/>
      <c r="E85" s="388" t="str">
        <f>E7</f>
        <v>FN Bohunice-úprava evidence DTC</v>
      </c>
      <c r="F85" s="389"/>
      <c r="G85" s="389"/>
      <c r="H85" s="389"/>
      <c r="L85" s="197"/>
    </row>
    <row r="86" spans="2:47" s="198" customFormat="1" ht="12" customHeight="1" x14ac:dyDescent="0.2">
      <c r="B86" s="197"/>
      <c r="C86" s="196" t="s">
        <v>276</v>
      </c>
      <c r="L86" s="197"/>
    </row>
    <row r="87" spans="2:47" s="198" customFormat="1" ht="16.5" customHeight="1" x14ac:dyDescent="0.2">
      <c r="B87" s="197"/>
      <c r="E87" s="386" t="str">
        <f>E9</f>
        <v>2. - TPS - Elektronické komunikace</v>
      </c>
      <c r="F87" s="387"/>
      <c r="G87" s="387"/>
      <c r="H87" s="387"/>
      <c r="L87" s="197"/>
    </row>
    <row r="88" spans="2:47" s="198" customFormat="1" ht="6.95" customHeight="1" x14ac:dyDescent="0.2">
      <c r="B88" s="197"/>
      <c r="L88" s="197"/>
    </row>
    <row r="89" spans="2:47" s="198" customFormat="1" ht="12" customHeight="1" x14ac:dyDescent="0.2">
      <c r="B89" s="197"/>
      <c r="C89" s="196" t="s">
        <v>281</v>
      </c>
      <c r="F89" s="199" t="str">
        <f>F12</f>
        <v>Brno</v>
      </c>
      <c r="I89" s="196" t="s">
        <v>283</v>
      </c>
      <c r="J89" s="200" t="str">
        <f>IF(J12="","",J12)</f>
        <v>25. 10. 2025</v>
      </c>
      <c r="L89" s="197"/>
    </row>
    <row r="90" spans="2:47" s="198" customFormat="1" ht="6.95" customHeight="1" x14ac:dyDescent="0.2">
      <c r="B90" s="197"/>
      <c r="L90" s="197"/>
    </row>
    <row r="91" spans="2:47" s="198" customFormat="1" ht="15.2" customHeight="1" x14ac:dyDescent="0.2">
      <c r="B91" s="197"/>
      <c r="C91" s="196" t="s">
        <v>284</v>
      </c>
      <c r="F91" s="199" t="str">
        <f>E15</f>
        <v xml:space="preserve"> </v>
      </c>
      <c r="I91" s="196" t="s">
        <v>21</v>
      </c>
      <c r="J91" s="203" t="str">
        <f>E21</f>
        <v>Oldřich Střítecký</v>
      </c>
      <c r="L91" s="197"/>
    </row>
    <row r="92" spans="2:47" s="198" customFormat="1" ht="15.2" customHeight="1" x14ac:dyDescent="0.2">
      <c r="B92" s="197"/>
      <c r="C92" s="196" t="s">
        <v>20</v>
      </c>
      <c r="F92" s="199" t="str">
        <f>IF(E18="","",E18)</f>
        <v xml:space="preserve"> </v>
      </c>
      <c r="I92" s="196" t="s">
        <v>288</v>
      </c>
      <c r="J92" s="203" t="str">
        <f>E24</f>
        <v>PK Střítecký</v>
      </c>
      <c r="L92" s="197"/>
    </row>
    <row r="93" spans="2:47" s="198" customFormat="1" ht="10.35" customHeight="1" x14ac:dyDescent="0.2">
      <c r="B93" s="197"/>
      <c r="L93" s="197"/>
    </row>
    <row r="94" spans="2:47" s="198" customFormat="1" ht="29.25" customHeight="1" x14ac:dyDescent="0.2">
      <c r="B94" s="197"/>
      <c r="C94" s="228" t="s">
        <v>307</v>
      </c>
      <c r="D94" s="211"/>
      <c r="E94" s="211"/>
      <c r="F94" s="211"/>
      <c r="G94" s="211"/>
      <c r="H94" s="211"/>
      <c r="I94" s="211"/>
      <c r="J94" s="229" t="s">
        <v>308</v>
      </c>
      <c r="K94" s="211"/>
      <c r="L94" s="197"/>
    </row>
    <row r="95" spans="2:47" s="198" customFormat="1" ht="10.35" customHeight="1" x14ac:dyDescent="0.2">
      <c r="B95" s="197"/>
      <c r="L95" s="197"/>
    </row>
    <row r="96" spans="2:47" s="198" customFormat="1" ht="22.9" customHeight="1" x14ac:dyDescent="0.2">
      <c r="B96" s="197"/>
      <c r="C96" s="230" t="s">
        <v>309</v>
      </c>
      <c r="J96" s="206">
        <f>J123</f>
        <v>0</v>
      </c>
      <c r="L96" s="197"/>
      <c r="AU96" s="190" t="s">
        <v>310</v>
      </c>
    </row>
    <row r="97" spans="2:12" s="232" customFormat="1" ht="24.95" customHeight="1" x14ac:dyDescent="0.2">
      <c r="B97" s="231"/>
      <c r="D97" s="233" t="s">
        <v>311</v>
      </c>
      <c r="E97" s="234"/>
      <c r="F97" s="234"/>
      <c r="G97" s="234"/>
      <c r="H97" s="234"/>
      <c r="I97" s="234"/>
      <c r="J97" s="235">
        <f>J124</f>
        <v>0</v>
      </c>
      <c r="L97" s="231"/>
    </row>
    <row r="98" spans="2:12" s="237" customFormat="1" ht="19.899999999999999" customHeight="1" x14ac:dyDescent="0.2">
      <c r="B98" s="236"/>
      <c r="D98" s="238" t="s">
        <v>517</v>
      </c>
      <c r="E98" s="239"/>
      <c r="F98" s="239"/>
      <c r="G98" s="239"/>
      <c r="H98" s="239"/>
      <c r="I98" s="239"/>
      <c r="J98" s="240">
        <f>J125</f>
        <v>0</v>
      </c>
      <c r="L98" s="236"/>
    </row>
    <row r="99" spans="2:12" s="237" customFormat="1" ht="14.85" customHeight="1" x14ac:dyDescent="0.2">
      <c r="B99" s="236"/>
      <c r="D99" s="238" t="s">
        <v>518</v>
      </c>
      <c r="E99" s="239"/>
      <c r="F99" s="239"/>
      <c r="G99" s="239"/>
      <c r="H99" s="239"/>
      <c r="I99" s="239"/>
      <c r="J99" s="240">
        <f>J130</f>
        <v>0</v>
      </c>
      <c r="L99" s="236"/>
    </row>
    <row r="100" spans="2:12" s="232" customFormat="1" ht="24.95" customHeight="1" x14ac:dyDescent="0.2">
      <c r="B100" s="231"/>
      <c r="D100" s="233" t="s">
        <v>319</v>
      </c>
      <c r="E100" s="234"/>
      <c r="F100" s="234"/>
      <c r="G100" s="234"/>
      <c r="H100" s="234"/>
      <c r="I100" s="234"/>
      <c r="J100" s="235">
        <f>J142</f>
        <v>0</v>
      </c>
      <c r="L100" s="231"/>
    </row>
    <row r="101" spans="2:12" s="237" customFormat="1" ht="19.899999999999999" customHeight="1" x14ac:dyDescent="0.2">
      <c r="B101" s="236"/>
      <c r="D101" s="238" t="s">
        <v>320</v>
      </c>
      <c r="E101" s="239"/>
      <c r="F101" s="239"/>
      <c r="G101" s="239"/>
      <c r="H101" s="239"/>
      <c r="I101" s="239"/>
      <c r="J101" s="240">
        <f>J143</f>
        <v>0</v>
      </c>
      <c r="L101" s="236"/>
    </row>
    <row r="102" spans="2:12" s="237" customFormat="1" ht="19.899999999999999" customHeight="1" x14ac:dyDescent="0.2">
      <c r="B102" s="236"/>
      <c r="D102" s="238" t="s">
        <v>321</v>
      </c>
      <c r="E102" s="239"/>
      <c r="F102" s="239"/>
      <c r="G102" s="239"/>
      <c r="H102" s="239"/>
      <c r="I102" s="239"/>
      <c r="J102" s="240">
        <f>J145</f>
        <v>0</v>
      </c>
      <c r="L102" s="236"/>
    </row>
    <row r="103" spans="2:12" s="237" customFormat="1" ht="19.899999999999999" customHeight="1" x14ac:dyDescent="0.2">
      <c r="B103" s="236"/>
      <c r="D103" s="238"/>
      <c r="E103" s="239"/>
      <c r="F103" s="239"/>
      <c r="G103" s="239"/>
      <c r="H103" s="239"/>
      <c r="I103" s="239"/>
      <c r="J103" s="240"/>
      <c r="L103" s="236"/>
    </row>
    <row r="104" spans="2:12" s="198" customFormat="1" ht="21.75" customHeight="1" x14ac:dyDescent="0.2">
      <c r="B104" s="197"/>
      <c r="L104" s="197"/>
    </row>
    <row r="105" spans="2:12" s="198" customFormat="1" ht="6.95" customHeight="1" x14ac:dyDescent="0.2">
      <c r="B105" s="224"/>
      <c r="C105" s="225"/>
      <c r="D105" s="225"/>
      <c r="E105" s="225"/>
      <c r="F105" s="225"/>
      <c r="G105" s="225"/>
      <c r="H105" s="225"/>
      <c r="I105" s="225"/>
      <c r="J105" s="225"/>
      <c r="K105" s="225"/>
      <c r="L105" s="197"/>
    </row>
    <row r="109" spans="2:12" s="198" customFormat="1" ht="6.95" customHeight="1" x14ac:dyDescent="0.2">
      <c r="B109" s="226"/>
      <c r="C109" s="227"/>
      <c r="D109" s="227"/>
      <c r="E109" s="227"/>
      <c r="F109" s="227"/>
      <c r="G109" s="227"/>
      <c r="H109" s="227"/>
      <c r="I109" s="227"/>
      <c r="J109" s="227"/>
      <c r="K109" s="227"/>
      <c r="L109" s="197"/>
    </row>
    <row r="110" spans="2:12" s="198" customFormat="1" ht="24.95" customHeight="1" x14ac:dyDescent="0.2">
      <c r="B110" s="197"/>
      <c r="C110" s="194" t="s">
        <v>322</v>
      </c>
      <c r="L110" s="197"/>
    </row>
    <row r="111" spans="2:12" s="198" customFormat="1" ht="6.95" customHeight="1" x14ac:dyDescent="0.2">
      <c r="B111" s="197"/>
      <c r="L111" s="197"/>
    </row>
    <row r="112" spans="2:12" s="198" customFormat="1" ht="12" customHeight="1" x14ac:dyDescent="0.2">
      <c r="B112" s="197"/>
      <c r="C112" s="196" t="s">
        <v>24</v>
      </c>
      <c r="L112" s="197"/>
    </row>
    <row r="113" spans="2:65" s="198" customFormat="1" ht="16.5" customHeight="1" x14ac:dyDescent="0.2">
      <c r="B113" s="197"/>
      <c r="E113" s="388" t="str">
        <f>E7</f>
        <v>FN Bohunice-úprava evidence DTC</v>
      </c>
      <c r="F113" s="389"/>
      <c r="G113" s="389"/>
      <c r="H113" s="389"/>
      <c r="L113" s="197"/>
    </row>
    <row r="114" spans="2:65" s="198" customFormat="1" ht="12" customHeight="1" x14ac:dyDescent="0.2">
      <c r="B114" s="197"/>
      <c r="C114" s="196" t="s">
        <v>276</v>
      </c>
      <c r="L114" s="197"/>
    </row>
    <row r="115" spans="2:65" s="198" customFormat="1" ht="16.5" customHeight="1" x14ac:dyDescent="0.2">
      <c r="B115" s="197"/>
      <c r="E115" s="386" t="str">
        <f>E9</f>
        <v>2. - TPS - Elektronické komunikace</v>
      </c>
      <c r="F115" s="387"/>
      <c r="G115" s="387"/>
      <c r="H115" s="387"/>
      <c r="L115" s="197"/>
    </row>
    <row r="116" spans="2:65" s="198" customFormat="1" ht="6.95" customHeight="1" x14ac:dyDescent="0.2">
      <c r="B116" s="197"/>
      <c r="L116" s="197"/>
    </row>
    <row r="117" spans="2:65" s="198" customFormat="1" ht="12" customHeight="1" x14ac:dyDescent="0.2">
      <c r="B117" s="197"/>
      <c r="C117" s="196" t="s">
        <v>281</v>
      </c>
      <c r="F117" s="199" t="str">
        <f>F12</f>
        <v>Brno</v>
      </c>
      <c r="I117" s="196" t="s">
        <v>283</v>
      </c>
      <c r="J117" s="200" t="str">
        <f>IF(J12="","",J12)</f>
        <v>25. 10. 2025</v>
      </c>
      <c r="L117" s="197"/>
    </row>
    <row r="118" spans="2:65" s="198" customFormat="1" ht="6.95" customHeight="1" x14ac:dyDescent="0.2">
      <c r="B118" s="197"/>
      <c r="L118" s="197"/>
    </row>
    <row r="119" spans="2:65" s="198" customFormat="1" ht="15.2" customHeight="1" x14ac:dyDescent="0.2">
      <c r="B119" s="197"/>
      <c r="C119" s="196" t="s">
        <v>284</v>
      </c>
      <c r="F119" s="199" t="str">
        <f>E15</f>
        <v xml:space="preserve"> </v>
      </c>
      <c r="I119" s="196" t="s">
        <v>21</v>
      </c>
      <c r="J119" s="203" t="str">
        <f>E21</f>
        <v>Oldřich Střítecký</v>
      </c>
      <c r="L119" s="197"/>
    </row>
    <row r="120" spans="2:65" s="198" customFormat="1" ht="15.2" customHeight="1" x14ac:dyDescent="0.2">
      <c r="B120" s="197"/>
      <c r="C120" s="196" t="s">
        <v>20</v>
      </c>
      <c r="F120" s="199" t="str">
        <f>IF(E18="","",E18)</f>
        <v xml:space="preserve"> </v>
      </c>
      <c r="I120" s="196" t="s">
        <v>288</v>
      </c>
      <c r="J120" s="203" t="str">
        <f>E24</f>
        <v>PK Střítecký</v>
      </c>
      <c r="L120" s="197"/>
    </row>
    <row r="121" spans="2:65" s="198" customFormat="1" ht="10.35" customHeight="1" x14ac:dyDescent="0.2">
      <c r="B121" s="197"/>
      <c r="L121" s="197"/>
    </row>
    <row r="122" spans="2:65" s="249" customFormat="1" ht="29.25" customHeight="1" x14ac:dyDescent="0.2">
      <c r="B122" s="241"/>
      <c r="C122" s="242" t="s">
        <v>323</v>
      </c>
      <c r="D122" s="243" t="s">
        <v>324</v>
      </c>
      <c r="E122" s="243" t="s">
        <v>325</v>
      </c>
      <c r="F122" s="243" t="s">
        <v>326</v>
      </c>
      <c r="G122" s="243" t="s">
        <v>96</v>
      </c>
      <c r="H122" s="243" t="s">
        <v>97</v>
      </c>
      <c r="I122" s="243" t="s">
        <v>327</v>
      </c>
      <c r="J122" s="244" t="s">
        <v>308</v>
      </c>
      <c r="K122" s="245" t="s">
        <v>328</v>
      </c>
      <c r="L122" s="241"/>
      <c r="M122" s="246" t="s">
        <v>279</v>
      </c>
      <c r="N122" s="247" t="s">
        <v>101</v>
      </c>
      <c r="O122" s="247" t="s">
        <v>329</v>
      </c>
      <c r="P122" s="247" t="s">
        <v>330</v>
      </c>
      <c r="Q122" s="247" t="s">
        <v>331</v>
      </c>
      <c r="R122" s="247" t="s">
        <v>332</v>
      </c>
      <c r="S122" s="247" t="s">
        <v>333</v>
      </c>
      <c r="T122" s="248" t="s">
        <v>334</v>
      </c>
    </row>
    <row r="123" spans="2:65" s="198" customFormat="1" ht="22.9" customHeight="1" x14ac:dyDescent="0.25">
      <c r="B123" s="197"/>
      <c r="C123" s="250" t="s">
        <v>335</v>
      </c>
      <c r="J123" s="251">
        <f>SUM(J124,J142)</f>
        <v>0</v>
      </c>
      <c r="L123" s="197"/>
      <c r="M123" s="252"/>
      <c r="N123" s="204"/>
      <c r="O123" s="204"/>
      <c r="P123" s="253" t="e">
        <f>P124+P142</f>
        <v>#REF!</v>
      </c>
      <c r="Q123" s="204"/>
      <c r="R123" s="253" t="e">
        <f>R124+R142</f>
        <v>#REF!</v>
      </c>
      <c r="S123" s="204"/>
      <c r="T123" s="254" t="e">
        <f>T124+T142</f>
        <v>#REF!</v>
      </c>
      <c r="AT123" s="190" t="s">
        <v>336</v>
      </c>
      <c r="AU123" s="190" t="s">
        <v>310</v>
      </c>
      <c r="BK123" s="255" t="e">
        <f>BK124+BK142</f>
        <v>#REF!</v>
      </c>
    </row>
    <row r="124" spans="2:65" s="257" customFormat="1" ht="25.9" customHeight="1" x14ac:dyDescent="0.2">
      <c r="B124" s="256"/>
      <c r="D124" s="258" t="s">
        <v>336</v>
      </c>
      <c r="E124" s="259" t="s">
        <v>27</v>
      </c>
      <c r="F124" s="259" t="s">
        <v>337</v>
      </c>
      <c r="J124" s="260">
        <f>SUM(J125,J130)</f>
        <v>0</v>
      </c>
      <c r="L124" s="256"/>
      <c r="M124" s="261"/>
      <c r="P124" s="262">
        <f>P125</f>
        <v>22.402000000000001</v>
      </c>
      <c r="R124" s="262">
        <f>R125</f>
        <v>3.1100000000000004E-3</v>
      </c>
      <c r="T124" s="263">
        <f>T125</f>
        <v>0</v>
      </c>
      <c r="AR124" s="258" t="s">
        <v>272</v>
      </c>
      <c r="AT124" s="264" t="s">
        <v>336</v>
      </c>
      <c r="AU124" s="264" t="s">
        <v>339</v>
      </c>
      <c r="AY124" s="258" t="s">
        <v>340</v>
      </c>
      <c r="BK124" s="265">
        <f>BK125</f>
        <v>0</v>
      </c>
    </row>
    <row r="125" spans="2:65" s="257" customFormat="1" ht="22.9" customHeight="1" x14ac:dyDescent="0.2">
      <c r="B125" s="256"/>
      <c r="D125" s="258" t="s">
        <v>336</v>
      </c>
      <c r="E125" s="266" t="s">
        <v>519</v>
      </c>
      <c r="F125" s="266" t="s">
        <v>520</v>
      </c>
      <c r="J125" s="267">
        <f>SUM(J126:J129)</f>
        <v>0</v>
      </c>
      <c r="L125" s="256"/>
      <c r="M125" s="261"/>
      <c r="P125" s="262">
        <f>P126+SUM(P127:P130)</f>
        <v>22.402000000000001</v>
      </c>
      <c r="R125" s="262">
        <f>R126+SUM(R127:R130)</f>
        <v>3.1100000000000004E-3</v>
      </c>
      <c r="T125" s="263">
        <f>T126+SUM(T127:T130)</f>
        <v>0</v>
      </c>
      <c r="AR125" s="258" t="s">
        <v>272</v>
      </c>
      <c r="AT125" s="264" t="s">
        <v>336</v>
      </c>
      <c r="AU125" s="264" t="s">
        <v>338</v>
      </c>
      <c r="AY125" s="258" t="s">
        <v>340</v>
      </c>
      <c r="BK125" s="265">
        <f>BK126+SUM(BK127:BK130)</f>
        <v>0</v>
      </c>
    </row>
    <row r="126" spans="2:65" s="198" customFormat="1" ht="16.5" customHeight="1" x14ac:dyDescent="0.2">
      <c r="B126" s="268"/>
      <c r="C126" s="269" t="s">
        <v>338</v>
      </c>
      <c r="D126" s="269" t="s">
        <v>343</v>
      </c>
      <c r="E126" s="270" t="s">
        <v>521</v>
      </c>
      <c r="F126" s="271" t="s">
        <v>522</v>
      </c>
      <c r="G126" s="272" t="s">
        <v>238</v>
      </c>
      <c r="H126" s="273">
        <v>25</v>
      </c>
      <c r="I126" s="274"/>
      <c r="J126" s="274">
        <f>ROUND(I126*H126,2)</f>
        <v>0</v>
      </c>
      <c r="K126" s="275"/>
      <c r="L126" s="197"/>
      <c r="M126" s="276" t="s">
        <v>279</v>
      </c>
      <c r="N126" s="277" t="s">
        <v>295</v>
      </c>
      <c r="O126" s="278">
        <v>6.8000000000000005E-2</v>
      </c>
      <c r="P126" s="278">
        <f>O126*H126</f>
        <v>1.7000000000000002</v>
      </c>
      <c r="Q126" s="278">
        <v>0</v>
      </c>
      <c r="R126" s="278">
        <f>Q126*H126</f>
        <v>0</v>
      </c>
      <c r="S126" s="278">
        <v>0</v>
      </c>
      <c r="T126" s="279">
        <f>S126*H126</f>
        <v>0</v>
      </c>
      <c r="AR126" s="280" t="s">
        <v>363</v>
      </c>
      <c r="AT126" s="280" t="s">
        <v>343</v>
      </c>
      <c r="AU126" s="280" t="s">
        <v>272</v>
      </c>
      <c r="AY126" s="190" t="s">
        <v>340</v>
      </c>
      <c r="BE126" s="281">
        <f>IF(N126="základní",J126,0)</f>
        <v>0</v>
      </c>
      <c r="BF126" s="281">
        <f>IF(N126="snížená",J126,0)</f>
        <v>0</v>
      </c>
      <c r="BG126" s="281">
        <f>IF(N126="zákl. přenesená",J126,0)</f>
        <v>0</v>
      </c>
      <c r="BH126" s="281">
        <f>IF(N126="sníž. přenesená",J126,0)</f>
        <v>0</v>
      </c>
      <c r="BI126" s="281">
        <f>IF(N126="nulová",J126,0)</f>
        <v>0</v>
      </c>
      <c r="BJ126" s="190" t="s">
        <v>338</v>
      </c>
      <c r="BK126" s="281">
        <f>ROUND(I126*H126,2)</f>
        <v>0</v>
      </c>
      <c r="BL126" s="190" t="s">
        <v>363</v>
      </c>
      <c r="BM126" s="280" t="s">
        <v>523</v>
      </c>
    </row>
    <row r="127" spans="2:65" s="198" customFormat="1" ht="16.5" customHeight="1" x14ac:dyDescent="0.2">
      <c r="B127" s="268"/>
      <c r="C127" s="282" t="s">
        <v>272</v>
      </c>
      <c r="D127" s="282" t="s">
        <v>366</v>
      </c>
      <c r="E127" s="283" t="s">
        <v>524</v>
      </c>
      <c r="F127" s="284" t="s">
        <v>525</v>
      </c>
      <c r="G127" s="285" t="s">
        <v>238</v>
      </c>
      <c r="H127" s="286">
        <v>25</v>
      </c>
      <c r="I127" s="287"/>
      <c r="J127" s="287">
        <f>ROUND(I127*H127,2)</f>
        <v>0</v>
      </c>
      <c r="K127" s="288"/>
      <c r="L127" s="289"/>
      <c r="M127" s="290" t="s">
        <v>279</v>
      </c>
      <c r="N127" s="291" t="s">
        <v>295</v>
      </c>
      <c r="O127" s="278">
        <v>0</v>
      </c>
      <c r="P127" s="278">
        <f>O127*H127</f>
        <v>0</v>
      </c>
      <c r="Q127" s="278">
        <v>1.1E-4</v>
      </c>
      <c r="R127" s="278">
        <f>Q127*H127</f>
        <v>2.7500000000000003E-3</v>
      </c>
      <c r="S127" s="278">
        <v>0</v>
      </c>
      <c r="T127" s="279">
        <f>S127*H127</f>
        <v>0</v>
      </c>
      <c r="AR127" s="280" t="s">
        <v>369</v>
      </c>
      <c r="AT127" s="280" t="s">
        <v>366</v>
      </c>
      <c r="AU127" s="280" t="s">
        <v>272</v>
      </c>
      <c r="AY127" s="190" t="s">
        <v>340</v>
      </c>
      <c r="BE127" s="281">
        <f>IF(N127="základní",J127,0)</f>
        <v>0</v>
      </c>
      <c r="BF127" s="281">
        <f>IF(N127="snížená",J127,0)</f>
        <v>0</v>
      </c>
      <c r="BG127" s="281">
        <f>IF(N127="zákl. přenesená",J127,0)</f>
        <v>0</v>
      </c>
      <c r="BH127" s="281">
        <f>IF(N127="sníž. přenesená",J127,0)</f>
        <v>0</v>
      </c>
      <c r="BI127" s="281">
        <f>IF(N127="nulová",J127,0)</f>
        <v>0</v>
      </c>
      <c r="BJ127" s="190" t="s">
        <v>338</v>
      </c>
      <c r="BK127" s="281">
        <f>ROUND(I127*H127,2)</f>
        <v>0</v>
      </c>
      <c r="BL127" s="190" t="s">
        <v>363</v>
      </c>
      <c r="BM127" s="280" t="s">
        <v>526</v>
      </c>
    </row>
    <row r="128" spans="2:65" s="198" customFormat="1" ht="33" customHeight="1" x14ac:dyDescent="0.2">
      <c r="B128" s="268"/>
      <c r="C128" s="269" t="s">
        <v>351</v>
      </c>
      <c r="D128" s="269" t="s">
        <v>343</v>
      </c>
      <c r="E128" s="270" t="s">
        <v>527</v>
      </c>
      <c r="F128" s="271" t="s">
        <v>528</v>
      </c>
      <c r="G128" s="272" t="s">
        <v>151</v>
      </c>
      <c r="H128" s="273">
        <v>12</v>
      </c>
      <c r="I128" s="274"/>
      <c r="J128" s="274">
        <f>ROUND(I128*H128,2)</f>
        <v>0</v>
      </c>
      <c r="K128" s="275"/>
      <c r="L128" s="197"/>
      <c r="M128" s="276" t="s">
        <v>279</v>
      </c>
      <c r="N128" s="277" t="s">
        <v>295</v>
      </c>
      <c r="O128" s="278">
        <v>0.12</v>
      </c>
      <c r="P128" s="278">
        <f>O128*H128</f>
        <v>1.44</v>
      </c>
      <c r="Q128" s="278">
        <v>0</v>
      </c>
      <c r="R128" s="278">
        <f>Q128*H128</f>
        <v>0</v>
      </c>
      <c r="S128" s="278">
        <v>0</v>
      </c>
      <c r="T128" s="279">
        <f>S128*H128</f>
        <v>0</v>
      </c>
      <c r="AR128" s="280" t="s">
        <v>363</v>
      </c>
      <c r="AT128" s="280" t="s">
        <v>343</v>
      </c>
      <c r="AU128" s="280" t="s">
        <v>272</v>
      </c>
      <c r="AY128" s="190" t="s">
        <v>340</v>
      </c>
      <c r="BE128" s="281">
        <f>IF(N128="základní",J128,0)</f>
        <v>0</v>
      </c>
      <c r="BF128" s="281">
        <f>IF(N128="snížená",J128,0)</f>
        <v>0</v>
      </c>
      <c r="BG128" s="281">
        <f>IF(N128="zákl. přenesená",J128,0)</f>
        <v>0</v>
      </c>
      <c r="BH128" s="281">
        <f>IF(N128="sníž. přenesená",J128,0)</f>
        <v>0</v>
      </c>
      <c r="BI128" s="281">
        <f>IF(N128="nulová",J128,0)</f>
        <v>0</v>
      </c>
      <c r="BJ128" s="190" t="s">
        <v>338</v>
      </c>
      <c r="BK128" s="281">
        <f>ROUND(I128*H128,2)</f>
        <v>0</v>
      </c>
      <c r="BL128" s="190" t="s">
        <v>363</v>
      </c>
      <c r="BM128" s="280" t="s">
        <v>529</v>
      </c>
    </row>
    <row r="129" spans="2:65" s="198" customFormat="1" ht="21.75" customHeight="1" x14ac:dyDescent="0.2">
      <c r="B129" s="268"/>
      <c r="C129" s="282" t="s">
        <v>346</v>
      </c>
      <c r="D129" s="282" t="s">
        <v>366</v>
      </c>
      <c r="E129" s="283" t="s">
        <v>530</v>
      </c>
      <c r="F129" s="284" t="s">
        <v>531</v>
      </c>
      <c r="G129" s="285" t="s">
        <v>151</v>
      </c>
      <c r="H129" s="286">
        <v>12</v>
      </c>
      <c r="I129" s="287"/>
      <c r="J129" s="287">
        <f>ROUND(I129*H129,2)</f>
        <v>0</v>
      </c>
      <c r="K129" s="288"/>
      <c r="L129" s="289"/>
      <c r="M129" s="290" t="s">
        <v>279</v>
      </c>
      <c r="N129" s="291" t="s">
        <v>295</v>
      </c>
      <c r="O129" s="278">
        <v>0</v>
      </c>
      <c r="P129" s="278">
        <f>O129*H129</f>
        <v>0</v>
      </c>
      <c r="Q129" s="278">
        <v>3.0000000000000001E-5</v>
      </c>
      <c r="R129" s="278">
        <f>Q129*H129</f>
        <v>3.6000000000000002E-4</v>
      </c>
      <c r="S129" s="278">
        <v>0</v>
      </c>
      <c r="T129" s="279">
        <f>S129*H129</f>
        <v>0</v>
      </c>
      <c r="AR129" s="280" t="s">
        <v>369</v>
      </c>
      <c r="AT129" s="280" t="s">
        <v>366</v>
      </c>
      <c r="AU129" s="280" t="s">
        <v>272</v>
      </c>
      <c r="AY129" s="190" t="s">
        <v>340</v>
      </c>
      <c r="BE129" s="281">
        <f>IF(N129="základní",J129,0)</f>
        <v>0</v>
      </c>
      <c r="BF129" s="281">
        <f>IF(N129="snížená",J129,0)</f>
        <v>0</v>
      </c>
      <c r="BG129" s="281">
        <f>IF(N129="zákl. přenesená",J129,0)</f>
        <v>0</v>
      </c>
      <c r="BH129" s="281">
        <f>IF(N129="sníž. přenesená",J129,0)</f>
        <v>0</v>
      </c>
      <c r="BI129" s="281">
        <f>IF(N129="nulová",J129,0)</f>
        <v>0</v>
      </c>
      <c r="BJ129" s="190" t="s">
        <v>338</v>
      </c>
      <c r="BK129" s="281">
        <f>ROUND(I129*H129,2)</f>
        <v>0</v>
      </c>
      <c r="BL129" s="190" t="s">
        <v>363</v>
      </c>
      <c r="BM129" s="280" t="s">
        <v>532</v>
      </c>
    </row>
    <row r="130" spans="2:65" s="257" customFormat="1" ht="20.85" customHeight="1" x14ac:dyDescent="0.2">
      <c r="B130" s="256"/>
      <c r="D130" s="258" t="s">
        <v>336</v>
      </c>
      <c r="E130" s="266" t="s">
        <v>533</v>
      </c>
      <c r="F130" s="266" t="s">
        <v>534</v>
      </c>
      <c r="J130" s="267">
        <f>SUM(J131:J141)</f>
        <v>0</v>
      </c>
      <c r="L130" s="256"/>
      <c r="M130" s="261"/>
      <c r="P130" s="262">
        <f>SUM(P131:P141)</f>
        <v>19.262</v>
      </c>
      <c r="R130" s="262">
        <f>SUM(R131:R141)</f>
        <v>0</v>
      </c>
      <c r="T130" s="263">
        <f>SUM(T131:T141)</f>
        <v>0</v>
      </c>
      <c r="AR130" s="258" t="s">
        <v>272</v>
      </c>
      <c r="AT130" s="264" t="s">
        <v>336</v>
      </c>
      <c r="AU130" s="264" t="s">
        <v>272</v>
      </c>
      <c r="AY130" s="258" t="s">
        <v>340</v>
      </c>
      <c r="BK130" s="265">
        <f>SUM(BK131:BK141)</f>
        <v>0</v>
      </c>
    </row>
    <row r="131" spans="2:65" s="198" customFormat="1" ht="21.75" customHeight="1" x14ac:dyDescent="0.2">
      <c r="B131" s="268"/>
      <c r="C131" s="269" t="s">
        <v>360</v>
      </c>
      <c r="D131" s="269" t="s">
        <v>343</v>
      </c>
      <c r="E131" s="270" t="s">
        <v>535</v>
      </c>
      <c r="F131" s="271" t="s">
        <v>536</v>
      </c>
      <c r="G131" s="272" t="s">
        <v>238</v>
      </c>
      <c r="H131" s="273">
        <v>250</v>
      </c>
      <c r="I131" s="274"/>
      <c r="J131" s="274">
        <f t="shared" ref="J131:J141" si="0">ROUND(I131*H131,2)</f>
        <v>0</v>
      </c>
      <c r="K131" s="275"/>
      <c r="L131" s="197"/>
      <c r="M131" s="276" t="s">
        <v>279</v>
      </c>
      <c r="N131" s="277" t="s">
        <v>295</v>
      </c>
      <c r="O131" s="278">
        <v>0.04</v>
      </c>
      <c r="P131" s="278">
        <f t="shared" ref="P131:P141" si="1">O131*H131</f>
        <v>10</v>
      </c>
      <c r="Q131" s="278">
        <v>0</v>
      </c>
      <c r="R131" s="278">
        <f t="shared" ref="R131:R141" si="2">Q131*H131</f>
        <v>0</v>
      </c>
      <c r="S131" s="278">
        <v>0</v>
      </c>
      <c r="T131" s="279">
        <f t="shared" ref="T131:T141" si="3">S131*H131</f>
        <v>0</v>
      </c>
      <c r="AR131" s="280" t="s">
        <v>363</v>
      </c>
      <c r="AT131" s="280" t="s">
        <v>343</v>
      </c>
      <c r="AU131" s="280" t="s">
        <v>351</v>
      </c>
      <c r="AY131" s="190" t="s">
        <v>340</v>
      </c>
      <c r="BE131" s="281">
        <f t="shared" ref="BE131:BE141" si="4">IF(N131="základní",J131,0)</f>
        <v>0</v>
      </c>
      <c r="BF131" s="281">
        <f t="shared" ref="BF131:BF141" si="5">IF(N131="snížená",J131,0)</f>
        <v>0</v>
      </c>
      <c r="BG131" s="281">
        <f t="shared" ref="BG131:BG141" si="6">IF(N131="zákl. přenesená",J131,0)</f>
        <v>0</v>
      </c>
      <c r="BH131" s="281">
        <f t="shared" ref="BH131:BH141" si="7">IF(N131="sníž. přenesená",J131,0)</f>
        <v>0</v>
      </c>
      <c r="BI131" s="281">
        <f t="shared" ref="BI131:BI141" si="8">IF(N131="nulová",J131,0)</f>
        <v>0</v>
      </c>
      <c r="BJ131" s="190" t="s">
        <v>338</v>
      </c>
      <c r="BK131" s="281">
        <f t="shared" ref="BK131:BK141" si="9">ROUND(I131*H131,2)</f>
        <v>0</v>
      </c>
      <c r="BL131" s="190" t="s">
        <v>363</v>
      </c>
      <c r="BM131" s="280" t="s">
        <v>537</v>
      </c>
    </row>
    <row r="132" spans="2:65" s="198" customFormat="1" ht="16.5" customHeight="1" x14ac:dyDescent="0.2">
      <c r="B132" s="268"/>
      <c r="C132" s="282" t="s">
        <v>365</v>
      </c>
      <c r="D132" s="282" t="s">
        <v>366</v>
      </c>
      <c r="E132" s="283" t="s">
        <v>538</v>
      </c>
      <c r="F132" s="284" t="s">
        <v>539</v>
      </c>
      <c r="G132" s="285" t="s">
        <v>238</v>
      </c>
      <c r="H132" s="286">
        <v>250</v>
      </c>
      <c r="I132" s="287"/>
      <c r="J132" s="287">
        <f t="shared" si="0"/>
        <v>0</v>
      </c>
      <c r="K132" s="288"/>
      <c r="L132" s="289"/>
      <c r="M132" s="290" t="s">
        <v>279</v>
      </c>
      <c r="N132" s="291" t="s">
        <v>295</v>
      </c>
      <c r="O132" s="278">
        <v>0</v>
      </c>
      <c r="P132" s="278">
        <f t="shared" si="1"/>
        <v>0</v>
      </c>
      <c r="Q132" s="278">
        <v>0</v>
      </c>
      <c r="R132" s="278">
        <f t="shared" si="2"/>
        <v>0</v>
      </c>
      <c r="S132" s="278">
        <v>0</v>
      </c>
      <c r="T132" s="279">
        <f t="shared" si="3"/>
        <v>0</v>
      </c>
      <c r="AR132" s="280" t="s">
        <v>369</v>
      </c>
      <c r="AT132" s="280" t="s">
        <v>366</v>
      </c>
      <c r="AU132" s="280" t="s">
        <v>351</v>
      </c>
      <c r="AY132" s="190" t="s">
        <v>340</v>
      </c>
      <c r="BE132" s="281">
        <f t="shared" si="4"/>
        <v>0</v>
      </c>
      <c r="BF132" s="281">
        <f t="shared" si="5"/>
        <v>0</v>
      </c>
      <c r="BG132" s="281">
        <f t="shared" si="6"/>
        <v>0</v>
      </c>
      <c r="BH132" s="281">
        <f t="shared" si="7"/>
        <v>0</v>
      </c>
      <c r="BI132" s="281">
        <f t="shared" si="8"/>
        <v>0</v>
      </c>
      <c r="BJ132" s="190" t="s">
        <v>338</v>
      </c>
      <c r="BK132" s="281">
        <f t="shared" si="9"/>
        <v>0</v>
      </c>
      <c r="BL132" s="190" t="s">
        <v>363</v>
      </c>
      <c r="BM132" s="280" t="s">
        <v>540</v>
      </c>
    </row>
    <row r="133" spans="2:65" s="198" customFormat="1" ht="16.5" customHeight="1" x14ac:dyDescent="0.2">
      <c r="B133" s="268"/>
      <c r="C133" s="269" t="s">
        <v>371</v>
      </c>
      <c r="D133" s="269" t="s">
        <v>343</v>
      </c>
      <c r="E133" s="270" t="s">
        <v>541</v>
      </c>
      <c r="F133" s="271" t="s">
        <v>542</v>
      </c>
      <c r="G133" s="272" t="s">
        <v>151</v>
      </c>
      <c r="H133" s="273">
        <v>2</v>
      </c>
      <c r="I133" s="274"/>
      <c r="J133" s="274">
        <f t="shared" si="0"/>
        <v>0</v>
      </c>
      <c r="K133" s="275"/>
      <c r="L133" s="197"/>
      <c r="M133" s="276" t="s">
        <v>279</v>
      </c>
      <c r="N133" s="277" t="s">
        <v>295</v>
      </c>
      <c r="O133" s="278">
        <v>2.2999999999999998</v>
      </c>
      <c r="P133" s="278">
        <f t="shared" si="1"/>
        <v>4.5999999999999996</v>
      </c>
      <c r="Q133" s="278">
        <v>0</v>
      </c>
      <c r="R133" s="278">
        <f t="shared" si="2"/>
        <v>0</v>
      </c>
      <c r="S133" s="278">
        <v>0</v>
      </c>
      <c r="T133" s="279">
        <f t="shared" si="3"/>
        <v>0</v>
      </c>
      <c r="AR133" s="280" t="s">
        <v>363</v>
      </c>
      <c r="AT133" s="280" t="s">
        <v>343</v>
      </c>
      <c r="AU133" s="280" t="s">
        <v>351</v>
      </c>
      <c r="AY133" s="190" t="s">
        <v>340</v>
      </c>
      <c r="BE133" s="281">
        <f t="shared" si="4"/>
        <v>0</v>
      </c>
      <c r="BF133" s="281">
        <f t="shared" si="5"/>
        <v>0</v>
      </c>
      <c r="BG133" s="281">
        <f t="shared" si="6"/>
        <v>0</v>
      </c>
      <c r="BH133" s="281">
        <f t="shared" si="7"/>
        <v>0</v>
      </c>
      <c r="BI133" s="281">
        <f t="shared" si="8"/>
        <v>0</v>
      </c>
      <c r="BJ133" s="190" t="s">
        <v>338</v>
      </c>
      <c r="BK133" s="281">
        <f t="shared" si="9"/>
        <v>0</v>
      </c>
      <c r="BL133" s="190" t="s">
        <v>363</v>
      </c>
      <c r="BM133" s="280" t="s">
        <v>543</v>
      </c>
    </row>
    <row r="134" spans="2:65" s="198" customFormat="1" ht="16.5" customHeight="1" x14ac:dyDescent="0.2">
      <c r="B134" s="268"/>
      <c r="C134" s="282" t="s">
        <v>375</v>
      </c>
      <c r="D134" s="282" t="s">
        <v>366</v>
      </c>
      <c r="E134" s="283" t="s">
        <v>544</v>
      </c>
      <c r="F134" s="284" t="s">
        <v>545</v>
      </c>
      <c r="G134" s="285" t="s">
        <v>151</v>
      </c>
      <c r="H134" s="286">
        <v>2</v>
      </c>
      <c r="I134" s="287"/>
      <c r="J134" s="287">
        <f t="shared" si="0"/>
        <v>0</v>
      </c>
      <c r="K134" s="288"/>
      <c r="L134" s="289"/>
      <c r="M134" s="290" t="s">
        <v>279</v>
      </c>
      <c r="N134" s="291" t="s">
        <v>295</v>
      </c>
      <c r="O134" s="278">
        <v>0</v>
      </c>
      <c r="P134" s="278">
        <f t="shared" si="1"/>
        <v>0</v>
      </c>
      <c r="Q134" s="278">
        <v>0</v>
      </c>
      <c r="R134" s="278">
        <f t="shared" si="2"/>
        <v>0</v>
      </c>
      <c r="S134" s="278">
        <v>0</v>
      </c>
      <c r="T134" s="279">
        <f t="shared" si="3"/>
        <v>0</v>
      </c>
      <c r="AR134" s="280" t="s">
        <v>369</v>
      </c>
      <c r="AT134" s="280" t="s">
        <v>366</v>
      </c>
      <c r="AU134" s="280" t="s">
        <v>351</v>
      </c>
      <c r="AY134" s="190" t="s">
        <v>340</v>
      </c>
      <c r="BE134" s="281">
        <f t="shared" si="4"/>
        <v>0</v>
      </c>
      <c r="BF134" s="281">
        <f t="shared" si="5"/>
        <v>0</v>
      </c>
      <c r="BG134" s="281">
        <f t="shared" si="6"/>
        <v>0</v>
      </c>
      <c r="BH134" s="281">
        <f t="shared" si="7"/>
        <v>0</v>
      </c>
      <c r="BI134" s="281">
        <f t="shared" si="8"/>
        <v>0</v>
      </c>
      <c r="BJ134" s="190" t="s">
        <v>338</v>
      </c>
      <c r="BK134" s="281">
        <f t="shared" si="9"/>
        <v>0</v>
      </c>
      <c r="BL134" s="190" t="s">
        <v>363</v>
      </c>
      <c r="BM134" s="280" t="s">
        <v>546</v>
      </c>
    </row>
    <row r="135" spans="2:65" s="198" customFormat="1" ht="16.5" customHeight="1" x14ac:dyDescent="0.2">
      <c r="B135" s="268"/>
      <c r="C135" s="269" t="s">
        <v>379</v>
      </c>
      <c r="D135" s="269" t="s">
        <v>343</v>
      </c>
      <c r="E135" s="270" t="s">
        <v>547</v>
      </c>
      <c r="F135" s="271" t="s">
        <v>548</v>
      </c>
      <c r="G135" s="272" t="s">
        <v>151</v>
      </c>
      <c r="H135" s="273">
        <v>1</v>
      </c>
      <c r="I135" s="274"/>
      <c r="J135" s="274">
        <f t="shared" si="0"/>
        <v>0</v>
      </c>
      <c r="K135" s="275"/>
      <c r="L135" s="197"/>
      <c r="M135" s="276" t="s">
        <v>279</v>
      </c>
      <c r="N135" s="277" t="s">
        <v>295</v>
      </c>
      <c r="O135" s="278">
        <v>0.11</v>
      </c>
      <c r="P135" s="278">
        <f t="shared" si="1"/>
        <v>0.11</v>
      </c>
      <c r="Q135" s="278">
        <v>0</v>
      </c>
      <c r="R135" s="278">
        <f t="shared" si="2"/>
        <v>0</v>
      </c>
      <c r="S135" s="278">
        <v>0</v>
      </c>
      <c r="T135" s="279">
        <f t="shared" si="3"/>
        <v>0</v>
      </c>
      <c r="AR135" s="280" t="s">
        <v>363</v>
      </c>
      <c r="AT135" s="280" t="s">
        <v>343</v>
      </c>
      <c r="AU135" s="280" t="s">
        <v>351</v>
      </c>
      <c r="AY135" s="190" t="s">
        <v>340</v>
      </c>
      <c r="BE135" s="281">
        <f t="shared" si="4"/>
        <v>0</v>
      </c>
      <c r="BF135" s="281">
        <f t="shared" si="5"/>
        <v>0</v>
      </c>
      <c r="BG135" s="281">
        <f t="shared" si="6"/>
        <v>0</v>
      </c>
      <c r="BH135" s="281">
        <f t="shared" si="7"/>
        <v>0</v>
      </c>
      <c r="BI135" s="281">
        <f t="shared" si="8"/>
        <v>0</v>
      </c>
      <c r="BJ135" s="190" t="s">
        <v>338</v>
      </c>
      <c r="BK135" s="281">
        <f t="shared" si="9"/>
        <v>0</v>
      </c>
      <c r="BL135" s="190" t="s">
        <v>363</v>
      </c>
      <c r="BM135" s="280" t="s">
        <v>549</v>
      </c>
    </row>
    <row r="136" spans="2:65" s="198" customFormat="1" ht="21.75" customHeight="1" x14ac:dyDescent="0.2">
      <c r="B136" s="268"/>
      <c r="C136" s="269" t="s">
        <v>383</v>
      </c>
      <c r="D136" s="269" t="s">
        <v>343</v>
      </c>
      <c r="E136" s="270" t="s">
        <v>550</v>
      </c>
      <c r="F136" s="271" t="s">
        <v>551</v>
      </c>
      <c r="G136" s="272" t="s">
        <v>151</v>
      </c>
      <c r="H136" s="273">
        <v>1</v>
      </c>
      <c r="I136" s="274"/>
      <c r="J136" s="274">
        <f t="shared" si="0"/>
        <v>0</v>
      </c>
      <c r="K136" s="275"/>
      <c r="L136" s="197"/>
      <c r="M136" s="276" t="s">
        <v>279</v>
      </c>
      <c r="N136" s="277" t="s">
        <v>295</v>
      </c>
      <c r="O136" s="278">
        <v>0.15</v>
      </c>
      <c r="P136" s="278">
        <f t="shared" si="1"/>
        <v>0.15</v>
      </c>
      <c r="Q136" s="278">
        <v>0</v>
      </c>
      <c r="R136" s="278">
        <f t="shared" si="2"/>
        <v>0</v>
      </c>
      <c r="S136" s="278">
        <v>0</v>
      </c>
      <c r="T136" s="279">
        <f t="shared" si="3"/>
        <v>0</v>
      </c>
      <c r="AR136" s="280" t="s">
        <v>363</v>
      </c>
      <c r="AT136" s="280" t="s">
        <v>343</v>
      </c>
      <c r="AU136" s="280" t="s">
        <v>351</v>
      </c>
      <c r="AY136" s="190" t="s">
        <v>340</v>
      </c>
      <c r="BE136" s="281">
        <f t="shared" si="4"/>
        <v>0</v>
      </c>
      <c r="BF136" s="281">
        <f t="shared" si="5"/>
        <v>0</v>
      </c>
      <c r="BG136" s="281">
        <f t="shared" si="6"/>
        <v>0</v>
      </c>
      <c r="BH136" s="281">
        <f t="shared" si="7"/>
        <v>0</v>
      </c>
      <c r="BI136" s="281">
        <f t="shared" si="8"/>
        <v>0</v>
      </c>
      <c r="BJ136" s="190" t="s">
        <v>338</v>
      </c>
      <c r="BK136" s="281">
        <f t="shared" si="9"/>
        <v>0</v>
      </c>
      <c r="BL136" s="190" t="s">
        <v>363</v>
      </c>
      <c r="BM136" s="280" t="s">
        <v>552</v>
      </c>
    </row>
    <row r="137" spans="2:65" s="198" customFormat="1" ht="16.5" customHeight="1" x14ac:dyDescent="0.2">
      <c r="B137" s="268"/>
      <c r="C137" s="269" t="s">
        <v>387</v>
      </c>
      <c r="D137" s="269" t="s">
        <v>343</v>
      </c>
      <c r="E137" s="270" t="s">
        <v>553</v>
      </c>
      <c r="F137" s="271" t="s">
        <v>554</v>
      </c>
      <c r="G137" s="272" t="s">
        <v>151</v>
      </c>
      <c r="H137" s="273">
        <v>12</v>
      </c>
      <c r="I137" s="274"/>
      <c r="J137" s="274">
        <f t="shared" si="0"/>
        <v>0</v>
      </c>
      <c r="K137" s="275"/>
      <c r="L137" s="197"/>
      <c r="M137" s="276" t="s">
        <v>279</v>
      </c>
      <c r="N137" s="277" t="s">
        <v>295</v>
      </c>
      <c r="O137" s="278">
        <v>0.3</v>
      </c>
      <c r="P137" s="278">
        <f t="shared" si="1"/>
        <v>3.5999999999999996</v>
      </c>
      <c r="Q137" s="278">
        <v>0</v>
      </c>
      <c r="R137" s="278">
        <f t="shared" si="2"/>
        <v>0</v>
      </c>
      <c r="S137" s="278">
        <v>0</v>
      </c>
      <c r="T137" s="279">
        <f t="shared" si="3"/>
        <v>0</v>
      </c>
      <c r="AR137" s="280" t="s">
        <v>363</v>
      </c>
      <c r="AT137" s="280" t="s">
        <v>343</v>
      </c>
      <c r="AU137" s="280" t="s">
        <v>351</v>
      </c>
      <c r="AY137" s="190" t="s">
        <v>340</v>
      </c>
      <c r="BE137" s="281">
        <f t="shared" si="4"/>
        <v>0</v>
      </c>
      <c r="BF137" s="281">
        <f t="shared" si="5"/>
        <v>0</v>
      </c>
      <c r="BG137" s="281">
        <f t="shared" si="6"/>
        <v>0</v>
      </c>
      <c r="BH137" s="281">
        <f t="shared" si="7"/>
        <v>0</v>
      </c>
      <c r="BI137" s="281">
        <f t="shared" si="8"/>
        <v>0</v>
      </c>
      <c r="BJ137" s="190" t="s">
        <v>338</v>
      </c>
      <c r="BK137" s="281">
        <f t="shared" si="9"/>
        <v>0</v>
      </c>
      <c r="BL137" s="190" t="s">
        <v>363</v>
      </c>
      <c r="BM137" s="280" t="s">
        <v>555</v>
      </c>
    </row>
    <row r="138" spans="2:65" s="198" customFormat="1" ht="21.75" customHeight="1" x14ac:dyDescent="0.2">
      <c r="B138" s="268"/>
      <c r="C138" s="282" t="s">
        <v>391</v>
      </c>
      <c r="D138" s="282" t="s">
        <v>366</v>
      </c>
      <c r="E138" s="283" t="s">
        <v>556</v>
      </c>
      <c r="F138" s="284" t="s">
        <v>557</v>
      </c>
      <c r="G138" s="285" t="s">
        <v>151</v>
      </c>
      <c r="H138" s="286">
        <v>12</v>
      </c>
      <c r="I138" s="287"/>
      <c r="J138" s="287">
        <f t="shared" si="0"/>
        <v>0</v>
      </c>
      <c r="K138" s="288"/>
      <c r="L138" s="289"/>
      <c r="M138" s="290" t="s">
        <v>279</v>
      </c>
      <c r="N138" s="291" t="s">
        <v>295</v>
      </c>
      <c r="O138" s="278">
        <v>0</v>
      </c>
      <c r="P138" s="278">
        <f t="shared" si="1"/>
        <v>0</v>
      </c>
      <c r="Q138" s="278">
        <v>0</v>
      </c>
      <c r="R138" s="278">
        <f t="shared" si="2"/>
        <v>0</v>
      </c>
      <c r="S138" s="278">
        <v>0</v>
      </c>
      <c r="T138" s="279">
        <f t="shared" si="3"/>
        <v>0</v>
      </c>
      <c r="AR138" s="280" t="s">
        <v>369</v>
      </c>
      <c r="AT138" s="280" t="s">
        <v>366</v>
      </c>
      <c r="AU138" s="280" t="s">
        <v>351</v>
      </c>
      <c r="AY138" s="190" t="s">
        <v>340</v>
      </c>
      <c r="BE138" s="281">
        <f t="shared" si="4"/>
        <v>0</v>
      </c>
      <c r="BF138" s="281">
        <f t="shared" si="5"/>
        <v>0</v>
      </c>
      <c r="BG138" s="281">
        <f t="shared" si="6"/>
        <v>0</v>
      </c>
      <c r="BH138" s="281">
        <f t="shared" si="7"/>
        <v>0</v>
      </c>
      <c r="BI138" s="281">
        <f t="shared" si="8"/>
        <v>0</v>
      </c>
      <c r="BJ138" s="190" t="s">
        <v>338</v>
      </c>
      <c r="BK138" s="281">
        <f t="shared" si="9"/>
        <v>0</v>
      </c>
      <c r="BL138" s="190" t="s">
        <v>363</v>
      </c>
      <c r="BM138" s="280" t="s">
        <v>558</v>
      </c>
    </row>
    <row r="139" spans="2:65" s="198" customFormat="1" ht="16.5" customHeight="1" x14ac:dyDescent="0.2">
      <c r="B139" s="268"/>
      <c r="C139" s="269" t="s">
        <v>395</v>
      </c>
      <c r="D139" s="269" t="s">
        <v>343</v>
      </c>
      <c r="E139" s="270" t="s">
        <v>559</v>
      </c>
      <c r="F139" s="271" t="s">
        <v>560</v>
      </c>
      <c r="G139" s="272" t="s">
        <v>151</v>
      </c>
      <c r="H139" s="273">
        <v>24</v>
      </c>
      <c r="I139" s="274"/>
      <c r="J139" s="274">
        <f t="shared" si="0"/>
        <v>0</v>
      </c>
      <c r="K139" s="275"/>
      <c r="L139" s="197"/>
      <c r="M139" s="276" t="s">
        <v>279</v>
      </c>
      <c r="N139" s="277" t="s">
        <v>295</v>
      </c>
      <c r="O139" s="278">
        <v>1.7999999999999999E-2</v>
      </c>
      <c r="P139" s="278">
        <f t="shared" si="1"/>
        <v>0.43199999999999994</v>
      </c>
      <c r="Q139" s="278">
        <v>0</v>
      </c>
      <c r="R139" s="278">
        <f t="shared" si="2"/>
        <v>0</v>
      </c>
      <c r="S139" s="278">
        <v>0</v>
      </c>
      <c r="T139" s="279">
        <f t="shared" si="3"/>
        <v>0</v>
      </c>
      <c r="AR139" s="280" t="s">
        <v>363</v>
      </c>
      <c r="AT139" s="280" t="s">
        <v>343</v>
      </c>
      <c r="AU139" s="280" t="s">
        <v>351</v>
      </c>
      <c r="AY139" s="190" t="s">
        <v>340</v>
      </c>
      <c r="BE139" s="281">
        <f t="shared" si="4"/>
        <v>0</v>
      </c>
      <c r="BF139" s="281">
        <f t="shared" si="5"/>
        <v>0</v>
      </c>
      <c r="BG139" s="281">
        <f t="shared" si="6"/>
        <v>0</v>
      </c>
      <c r="BH139" s="281">
        <f t="shared" si="7"/>
        <v>0</v>
      </c>
      <c r="BI139" s="281">
        <f t="shared" si="8"/>
        <v>0</v>
      </c>
      <c r="BJ139" s="190" t="s">
        <v>338</v>
      </c>
      <c r="BK139" s="281">
        <f t="shared" si="9"/>
        <v>0</v>
      </c>
      <c r="BL139" s="190" t="s">
        <v>363</v>
      </c>
      <c r="BM139" s="280" t="s">
        <v>561</v>
      </c>
    </row>
    <row r="140" spans="2:65" s="198" customFormat="1" ht="16.5" customHeight="1" x14ac:dyDescent="0.2">
      <c r="B140" s="268"/>
      <c r="C140" s="269" t="s">
        <v>399</v>
      </c>
      <c r="D140" s="269" t="s">
        <v>343</v>
      </c>
      <c r="E140" s="270" t="s">
        <v>562</v>
      </c>
      <c r="F140" s="271" t="s">
        <v>563</v>
      </c>
      <c r="G140" s="272" t="s">
        <v>151</v>
      </c>
      <c r="H140" s="273">
        <v>24</v>
      </c>
      <c r="I140" s="274"/>
      <c r="J140" s="274">
        <f t="shared" ref="J140" si="10">ROUND(I140*H140,2)</f>
        <v>0</v>
      </c>
      <c r="K140" s="275"/>
      <c r="L140" s="197"/>
      <c r="M140" s="276"/>
      <c r="N140" s="277"/>
      <c r="O140" s="278"/>
      <c r="P140" s="278"/>
      <c r="Q140" s="278"/>
      <c r="R140" s="278"/>
      <c r="S140" s="278"/>
      <c r="T140" s="279"/>
      <c r="AR140" s="280"/>
      <c r="AT140" s="280"/>
      <c r="AU140" s="280"/>
      <c r="AY140" s="190"/>
      <c r="BE140" s="281"/>
      <c r="BF140" s="281"/>
      <c r="BG140" s="281"/>
      <c r="BH140" s="281"/>
      <c r="BI140" s="281"/>
      <c r="BJ140" s="190"/>
      <c r="BK140" s="281"/>
      <c r="BL140" s="190"/>
      <c r="BM140" s="280"/>
    </row>
    <row r="141" spans="2:65" s="198" customFormat="1" ht="24.75" customHeight="1" x14ac:dyDescent="0.2">
      <c r="B141" s="268"/>
      <c r="C141" s="269">
        <v>15</v>
      </c>
      <c r="D141" s="269" t="s">
        <v>343</v>
      </c>
      <c r="E141" s="270" t="s">
        <v>562</v>
      </c>
      <c r="F141" s="271" t="s">
        <v>583</v>
      </c>
      <c r="G141" s="272" t="s">
        <v>151</v>
      </c>
      <c r="H141" s="273">
        <v>1</v>
      </c>
      <c r="I141" s="274"/>
      <c r="J141" s="274">
        <f t="shared" si="0"/>
        <v>0</v>
      </c>
      <c r="K141" s="275"/>
      <c r="L141" s="197"/>
      <c r="M141" s="276" t="s">
        <v>279</v>
      </c>
      <c r="N141" s="277" t="s">
        <v>295</v>
      </c>
      <c r="O141" s="278">
        <v>0.37</v>
      </c>
      <c r="P141" s="278">
        <f t="shared" si="1"/>
        <v>0.37</v>
      </c>
      <c r="Q141" s="278">
        <v>0</v>
      </c>
      <c r="R141" s="278">
        <f t="shared" si="2"/>
        <v>0</v>
      </c>
      <c r="S141" s="278">
        <v>0</v>
      </c>
      <c r="T141" s="279">
        <f t="shared" si="3"/>
        <v>0</v>
      </c>
      <c r="AR141" s="280" t="s">
        <v>363</v>
      </c>
      <c r="AT141" s="280" t="s">
        <v>343</v>
      </c>
      <c r="AU141" s="280" t="s">
        <v>351</v>
      </c>
      <c r="AY141" s="190" t="s">
        <v>340</v>
      </c>
      <c r="BE141" s="281">
        <f t="shared" si="4"/>
        <v>0</v>
      </c>
      <c r="BF141" s="281">
        <f t="shared" si="5"/>
        <v>0</v>
      </c>
      <c r="BG141" s="281">
        <f t="shared" si="6"/>
        <v>0</v>
      </c>
      <c r="BH141" s="281">
        <f t="shared" si="7"/>
        <v>0</v>
      </c>
      <c r="BI141" s="281">
        <f t="shared" si="8"/>
        <v>0</v>
      </c>
      <c r="BJ141" s="190" t="s">
        <v>338</v>
      </c>
      <c r="BK141" s="281">
        <f t="shared" si="9"/>
        <v>0</v>
      </c>
      <c r="BL141" s="190" t="s">
        <v>363</v>
      </c>
      <c r="BM141" s="280" t="s">
        <v>564</v>
      </c>
    </row>
    <row r="142" spans="2:65" s="257" customFormat="1" ht="25.9" customHeight="1" x14ac:dyDescent="0.2">
      <c r="B142" s="256"/>
      <c r="D142" s="258" t="s">
        <v>336</v>
      </c>
      <c r="E142" s="259" t="s">
        <v>49</v>
      </c>
      <c r="F142" s="259" t="s">
        <v>501</v>
      </c>
      <c r="J142" s="260">
        <f>SUM(J143,J145)</f>
        <v>0</v>
      </c>
      <c r="L142" s="256"/>
      <c r="M142" s="261"/>
      <c r="P142" s="262" t="e">
        <f>P143+P145+#REF!</f>
        <v>#REF!</v>
      </c>
      <c r="R142" s="262" t="e">
        <f>R143+R145+#REF!</f>
        <v>#REF!</v>
      </c>
      <c r="T142" s="263" t="e">
        <f>T143+T145+#REF!</f>
        <v>#REF!</v>
      </c>
      <c r="AR142" s="258" t="s">
        <v>360</v>
      </c>
      <c r="AT142" s="264" t="s">
        <v>336</v>
      </c>
      <c r="AU142" s="264" t="s">
        <v>339</v>
      </c>
      <c r="AY142" s="258" t="s">
        <v>340</v>
      </c>
      <c r="BK142" s="265" t="e">
        <f>BK143+BK145+#REF!</f>
        <v>#REF!</v>
      </c>
    </row>
    <row r="143" spans="2:65" s="257" customFormat="1" ht="22.9" customHeight="1" x14ac:dyDescent="0.2">
      <c r="B143" s="256"/>
      <c r="D143" s="258" t="s">
        <v>336</v>
      </c>
      <c r="E143" s="266" t="s">
        <v>502</v>
      </c>
      <c r="F143" s="266" t="s">
        <v>503</v>
      </c>
      <c r="J143" s="267">
        <f>BK143</f>
        <v>0</v>
      </c>
      <c r="L143" s="256"/>
      <c r="M143" s="261"/>
      <c r="P143" s="262">
        <f>P144</f>
        <v>0</v>
      </c>
      <c r="R143" s="262">
        <f>R144</f>
        <v>0</v>
      </c>
      <c r="T143" s="263">
        <f>T144</f>
        <v>0</v>
      </c>
      <c r="AR143" s="258" t="s">
        <v>360</v>
      </c>
      <c r="AT143" s="264" t="s">
        <v>336</v>
      </c>
      <c r="AU143" s="264" t="s">
        <v>338</v>
      </c>
      <c r="AY143" s="258" t="s">
        <v>340</v>
      </c>
      <c r="BK143" s="265">
        <f>BK144</f>
        <v>0</v>
      </c>
    </row>
    <row r="144" spans="2:65" s="198" customFormat="1" ht="16.5" customHeight="1" x14ac:dyDescent="0.2">
      <c r="B144" s="268"/>
      <c r="C144" s="269">
        <v>16</v>
      </c>
      <c r="D144" s="269" t="s">
        <v>343</v>
      </c>
      <c r="E144" s="270" t="s">
        <v>505</v>
      </c>
      <c r="F144" s="271" t="s">
        <v>506</v>
      </c>
      <c r="G144" s="272" t="s">
        <v>151</v>
      </c>
      <c r="H144" s="273">
        <v>1</v>
      </c>
      <c r="I144" s="274"/>
      <c r="J144" s="274">
        <f>ROUND(I144*H144,2)</f>
        <v>0</v>
      </c>
      <c r="K144" s="275"/>
      <c r="L144" s="197"/>
      <c r="M144" s="276" t="s">
        <v>279</v>
      </c>
      <c r="N144" s="277" t="s">
        <v>295</v>
      </c>
      <c r="O144" s="278">
        <v>0</v>
      </c>
      <c r="P144" s="278">
        <f>O144*H144</f>
        <v>0</v>
      </c>
      <c r="Q144" s="278">
        <v>0</v>
      </c>
      <c r="R144" s="278">
        <f>Q144*H144</f>
        <v>0</v>
      </c>
      <c r="S144" s="278">
        <v>0</v>
      </c>
      <c r="T144" s="279">
        <f>S144*H144</f>
        <v>0</v>
      </c>
      <c r="AR144" s="280" t="s">
        <v>507</v>
      </c>
      <c r="AT144" s="280" t="s">
        <v>343</v>
      </c>
      <c r="AU144" s="280" t="s">
        <v>272</v>
      </c>
      <c r="AY144" s="190" t="s">
        <v>340</v>
      </c>
      <c r="BE144" s="281">
        <f>IF(N144="základní",J144,0)</f>
        <v>0</v>
      </c>
      <c r="BF144" s="281">
        <f>IF(N144="snížená",J144,0)</f>
        <v>0</v>
      </c>
      <c r="BG144" s="281">
        <f>IF(N144="zákl. přenesená",J144,0)</f>
        <v>0</v>
      </c>
      <c r="BH144" s="281">
        <f>IF(N144="sníž. přenesená",J144,0)</f>
        <v>0</v>
      </c>
      <c r="BI144" s="281">
        <f>IF(N144="nulová",J144,0)</f>
        <v>0</v>
      </c>
      <c r="BJ144" s="190" t="s">
        <v>338</v>
      </c>
      <c r="BK144" s="281">
        <f>ROUND(I144*H144,2)</f>
        <v>0</v>
      </c>
      <c r="BL144" s="190" t="s">
        <v>507</v>
      </c>
      <c r="BM144" s="280" t="s">
        <v>565</v>
      </c>
    </row>
    <row r="145" spans="2:65" s="257" customFormat="1" ht="22.9" customHeight="1" x14ac:dyDescent="0.2">
      <c r="B145" s="256"/>
      <c r="D145" s="258" t="s">
        <v>336</v>
      </c>
      <c r="E145" s="266" t="s">
        <v>509</v>
      </c>
      <c r="F145" s="266" t="s">
        <v>510</v>
      </c>
      <c r="J145" s="267">
        <f>BK145</f>
        <v>0</v>
      </c>
      <c r="L145" s="256"/>
      <c r="M145" s="261"/>
      <c r="P145" s="262">
        <f>P146</f>
        <v>0</v>
      </c>
      <c r="R145" s="262">
        <f>R146</f>
        <v>0</v>
      </c>
      <c r="T145" s="263">
        <f>T146</f>
        <v>0</v>
      </c>
      <c r="AR145" s="258" t="s">
        <v>360</v>
      </c>
      <c r="AT145" s="264" t="s">
        <v>336</v>
      </c>
      <c r="AU145" s="264" t="s">
        <v>338</v>
      </c>
      <c r="AY145" s="258" t="s">
        <v>340</v>
      </c>
      <c r="BK145" s="265">
        <f>BK146</f>
        <v>0</v>
      </c>
    </row>
    <row r="146" spans="2:65" s="198" customFormat="1" ht="16.5" customHeight="1" x14ac:dyDescent="0.2">
      <c r="B146" s="268"/>
      <c r="C146" s="269">
        <v>17</v>
      </c>
      <c r="D146" s="269" t="s">
        <v>343</v>
      </c>
      <c r="E146" s="270" t="s">
        <v>512</v>
      </c>
      <c r="F146" s="271" t="s">
        <v>513</v>
      </c>
      <c r="G146" s="272" t="s">
        <v>191</v>
      </c>
      <c r="H146" s="273">
        <v>2.5</v>
      </c>
      <c r="I146" s="274"/>
      <c r="J146" s="274">
        <f>ROUND(I146*H146,2)</f>
        <v>0</v>
      </c>
      <c r="K146" s="275"/>
      <c r="L146" s="197"/>
      <c r="M146" s="276" t="s">
        <v>279</v>
      </c>
      <c r="N146" s="277" t="s">
        <v>295</v>
      </c>
      <c r="O146" s="278">
        <v>0</v>
      </c>
      <c r="P146" s="278">
        <f>O146*H146</f>
        <v>0</v>
      </c>
      <c r="Q146" s="278">
        <v>0</v>
      </c>
      <c r="R146" s="278">
        <f>Q146*H146</f>
        <v>0</v>
      </c>
      <c r="S146" s="278">
        <v>0</v>
      </c>
      <c r="T146" s="279">
        <f>S146*H146</f>
        <v>0</v>
      </c>
      <c r="AR146" s="280" t="s">
        <v>507</v>
      </c>
      <c r="AT146" s="280" t="s">
        <v>343</v>
      </c>
      <c r="AU146" s="280" t="s">
        <v>272</v>
      </c>
      <c r="AY146" s="190" t="s">
        <v>340</v>
      </c>
      <c r="BE146" s="281">
        <f>IF(N146="základní",J146,0)</f>
        <v>0</v>
      </c>
      <c r="BF146" s="281">
        <f>IF(N146="snížená",J146,0)</f>
        <v>0</v>
      </c>
      <c r="BG146" s="281">
        <f>IF(N146="zákl. přenesená",J146,0)</f>
        <v>0</v>
      </c>
      <c r="BH146" s="281">
        <f>IF(N146="sníž. přenesená",J146,0)</f>
        <v>0</v>
      </c>
      <c r="BI146" s="281">
        <f>IF(N146="nulová",J146,0)</f>
        <v>0</v>
      </c>
      <c r="BJ146" s="190" t="s">
        <v>338</v>
      </c>
      <c r="BK146" s="281">
        <f>ROUND(I146*H146,2)</f>
        <v>0</v>
      </c>
      <c r="BL146" s="190" t="s">
        <v>507</v>
      </c>
      <c r="BM146" s="280" t="s">
        <v>566</v>
      </c>
    </row>
    <row r="147" spans="2:65" s="198" customFormat="1" ht="6.95" customHeight="1" x14ac:dyDescent="0.2">
      <c r="B147" s="224"/>
      <c r="C147" s="225"/>
      <c r="D147" s="225"/>
      <c r="E147" s="225"/>
      <c r="F147" s="225"/>
      <c r="G147" s="225"/>
      <c r="H147" s="225"/>
      <c r="I147" s="225"/>
      <c r="J147" s="225"/>
      <c r="K147" s="225"/>
      <c r="L147" s="197"/>
    </row>
    <row r="150" spans="2:65" x14ac:dyDescent="0.2">
      <c r="D150" s="189" t="s">
        <v>580</v>
      </c>
    </row>
    <row r="151" spans="2:65" x14ac:dyDescent="0.2">
      <c r="E151" s="189" t="s">
        <v>581</v>
      </c>
    </row>
  </sheetData>
  <autoFilter ref="C122:K146" xr:uid="{00000000-0009-0000-0000-000002000000}"/>
  <mergeCells count="9">
    <mergeCell ref="E87:H87"/>
    <mergeCell ref="E113:H113"/>
    <mergeCell ref="E115:H11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54</vt:i4>
      </vt:variant>
    </vt:vector>
  </HeadingPairs>
  <TitlesOfParts>
    <vt:vector size="61" baseType="lpstr">
      <vt:lpstr>Pokyny pro vyplnění</vt:lpstr>
      <vt:lpstr>Stavba</vt:lpstr>
      <vt:lpstr>VzorPolozky</vt:lpstr>
      <vt:lpstr>01 VRN</vt:lpstr>
      <vt:lpstr>02 Stavební</vt:lpstr>
      <vt:lpstr>03 - Silnoproud</vt:lpstr>
      <vt:lpstr>04 - TPS - Elektronické k...</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VRN'!Názvy_tisku</vt:lpstr>
      <vt:lpstr>'02 Stavební'!Názvy_tisku</vt:lpstr>
      <vt:lpstr>'03 - Silnoproud'!Názvy_tisku</vt:lpstr>
      <vt:lpstr>'04 - TPS - Elektronické k...'!Názvy_tisku</vt:lpstr>
      <vt:lpstr>oadresa</vt:lpstr>
      <vt:lpstr>Stavba!Objednatel</vt:lpstr>
      <vt:lpstr>Stavba!Objekt</vt:lpstr>
      <vt:lpstr>'01 VRN'!Oblast_tisku</vt:lpstr>
      <vt:lpstr>'02 Stavební'!Oblast_tisku</vt:lpstr>
      <vt:lpstr>'03 - Silnoproud'!Oblast_tisku</vt:lpstr>
      <vt:lpstr>'04 - TPS - Elektronické k...'!Oblast_tisku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aUDA</dc:creator>
  <cp:lastModifiedBy>Kolouch Pavel</cp:lastModifiedBy>
  <cp:lastPrinted>2019-03-19T12:27:02Z</cp:lastPrinted>
  <dcterms:created xsi:type="dcterms:W3CDTF">2009-04-08T07:15:50Z</dcterms:created>
  <dcterms:modified xsi:type="dcterms:W3CDTF">2026-01-26T13:17:29Z</dcterms:modified>
</cp:coreProperties>
</file>