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0" windowWidth="15735" windowHeight="14235" activeTab="0"/>
  </bookViews>
  <sheets>
    <sheet name="Krycí list" sheetId="1" r:id="rId1"/>
    <sheet name="Soupis prací-rekapitulace" sheetId="2" r:id="rId2"/>
    <sheet name="Soupis prací" sheetId="3" r:id="rId3"/>
    <sheet name="Soupis prací-výkaz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<sst xmlns="http://schemas.openxmlformats.org/spreadsheetml/2006/main" count="1064" uniqueCount="434">
  <si>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</si>
  <si>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</si>
  <si>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</si>
  <si>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</si>
  <si>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</si>
  <si>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</si>
  <si>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</si>
  <si>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</si>
  <si>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</si>
  <si>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</si>
  <si>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</si>
  <si>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</si>
  <si>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</si>
  <si>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</si>
  <si>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</si>
  <si>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</si>
  <si>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</si>
  <si>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</si>
  <si>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</si>
  <si>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</si>
  <si>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</si>
  <si>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</si>
  <si>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</si>
  <si>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</si>
  <si>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</si>
  <si>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</si>
  <si>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</si>
  <si>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</si>
  <si>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</si>
  <si>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</si>
  <si>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</si>
  <si>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</si>
  <si>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</si>
  <si>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</si>
  <si>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</si>
  <si>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</si>
  <si>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</si>
  <si>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</si>
  <si>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</si>
  <si>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</si>
  <si>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</si>
  <si>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</si>
  <si>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</si>
  <si>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</si>
  <si>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</si>
  <si>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</si>
  <si>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</si>
  <si>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</si>
  <si>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</si>
  <si>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</si>
  <si>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</si>
  <si>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</si>
  <si>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</si>
  <si>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</si>
  <si>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</si>
  <si>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</si>
  <si>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</si>
  <si>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</si>
  <si>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</si>
  <si>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</si>
  <si>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</si>
  <si>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</si>
  <si>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</si>
  <si>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</si>
  <si>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</si>
  <si>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</si>
  <si>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</si>
  <si>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</si>
  <si>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</si>
  <si>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</si>
  <si>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</si>
  <si>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</si>
  <si>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</si>
  <si>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</si>
  <si>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</si>
  <si>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</si>
  <si>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</si>
  <si>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</si>
  <si>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</si>
  <si>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</si>
  <si>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</si>
  <si>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</si>
  <si>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</si>
  <si>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</si>
  <si>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Objekt</t>
  </si>
  <si>
    <t>Kód</t>
  </si>
  <si>
    <t>0</t>
  </si>
  <si>
    <t>007935VD</t>
  </si>
  <si>
    <t>113107112R00</t>
  </si>
  <si>
    <t>113107123R00</t>
  </si>
  <si>
    <t>113107141R00</t>
  </si>
  <si>
    <t>115101201R00</t>
  </si>
  <si>
    <t>115101301R00</t>
  </si>
  <si>
    <t>119001401R00</t>
  </si>
  <si>
    <t>119001421R00</t>
  </si>
  <si>
    <t>130001101R00</t>
  </si>
  <si>
    <t>130901121R00</t>
  </si>
  <si>
    <t>131201102R00</t>
  </si>
  <si>
    <t>131301101R00</t>
  </si>
  <si>
    <t>132201201R00</t>
  </si>
  <si>
    <t>132301201R00</t>
  </si>
  <si>
    <t>151101101R00</t>
  </si>
  <si>
    <t>151101102R00</t>
  </si>
  <si>
    <t>151101111R00</t>
  </si>
  <si>
    <t>151101112R00</t>
  </si>
  <si>
    <t>161101101R00</t>
  </si>
  <si>
    <t>161101102R00</t>
  </si>
  <si>
    <t>162701105R00</t>
  </si>
  <si>
    <t>162701109R00</t>
  </si>
  <si>
    <t>167101101R00</t>
  </si>
  <si>
    <t>175-2022020VD</t>
  </si>
  <si>
    <t>174101101R00</t>
  </si>
  <si>
    <t>175101101R00</t>
  </si>
  <si>
    <t>451573111R00</t>
  </si>
  <si>
    <t>452311131R00</t>
  </si>
  <si>
    <t>632416240R00</t>
  </si>
  <si>
    <t>566901111R00</t>
  </si>
  <si>
    <t>566904111R00</t>
  </si>
  <si>
    <t>572942112R00</t>
  </si>
  <si>
    <t>87</t>
  </si>
  <si>
    <t>871313121R00</t>
  </si>
  <si>
    <t>871353121R00</t>
  </si>
  <si>
    <t>871373121R00</t>
  </si>
  <si>
    <t>877313123R00</t>
  </si>
  <si>
    <t>877353121R00</t>
  </si>
  <si>
    <t>877353123R00</t>
  </si>
  <si>
    <t>877373121R00</t>
  </si>
  <si>
    <t>877373123R00</t>
  </si>
  <si>
    <t>89</t>
  </si>
  <si>
    <t>892571111R00</t>
  </si>
  <si>
    <t>892581111R00</t>
  </si>
  <si>
    <t>894118001R00</t>
  </si>
  <si>
    <t>894411121R00</t>
  </si>
  <si>
    <t>894412112RAB</t>
  </si>
  <si>
    <t>894412112RCB</t>
  </si>
  <si>
    <t>894432112R00</t>
  </si>
  <si>
    <t>899101111R00</t>
  </si>
  <si>
    <t>899104111R00</t>
  </si>
  <si>
    <t>892</t>
  </si>
  <si>
    <t>89286941115R0XVD</t>
  </si>
  <si>
    <t>91</t>
  </si>
  <si>
    <t>919731123R00</t>
  </si>
  <si>
    <t>H27</t>
  </si>
  <si>
    <t>998276101R00</t>
  </si>
  <si>
    <t>S</t>
  </si>
  <si>
    <t>979082213R00</t>
  </si>
  <si>
    <t>979087212R00</t>
  </si>
  <si>
    <t>28611151.A</t>
  </si>
  <si>
    <t>28611156.A</t>
  </si>
  <si>
    <t>28611270.A</t>
  </si>
  <si>
    <t>286136697</t>
  </si>
  <si>
    <t>28651662.A</t>
  </si>
  <si>
    <t>28651667.A</t>
  </si>
  <si>
    <t>28651693.A</t>
  </si>
  <si>
    <t>28651694.A</t>
  </si>
  <si>
    <t>28651695.A</t>
  </si>
  <si>
    <t>28651708.A</t>
  </si>
  <si>
    <t>28651718.A</t>
  </si>
  <si>
    <t>28697165</t>
  </si>
  <si>
    <t>28697195</t>
  </si>
  <si>
    <t>55243064.A</t>
  </si>
  <si>
    <t>55340325</t>
  </si>
  <si>
    <t>58337330</t>
  </si>
  <si>
    <t>59224150</t>
  </si>
  <si>
    <t>59224152</t>
  </si>
  <si>
    <t>59224154</t>
  </si>
  <si>
    <t>59224176</t>
  </si>
  <si>
    <t>59224177</t>
  </si>
  <si>
    <t>59224353.A</t>
  </si>
  <si>
    <t>59224366.A</t>
  </si>
  <si>
    <t>59224368.A</t>
  </si>
  <si>
    <t>FAKULTNÍ NEMOCNICE BRNO, HELIPORT HEMS</t>
  </si>
  <si>
    <t>IO02-PŘÍPOJKA KANALIZACE</t>
  </si>
  <si>
    <t>Brno</t>
  </si>
  <si>
    <t>Zkrácený popis</t>
  </si>
  <si>
    <t>Všeobecné konstrukce a práce</t>
  </si>
  <si>
    <t>Geodetické zaměření</t>
  </si>
  <si>
    <t>Přípravné a přidružené práce</t>
  </si>
  <si>
    <t>Odstranění podkladu pl. 200 m2,kam.těžené tl.20 cm</t>
  </si>
  <si>
    <t>Odstranění podkladu pl. 200 m2,kam.drcené tl.30 cm</t>
  </si>
  <si>
    <t>Odstranění podkladu pl. do 200 m2, živice tl. 5 cm</t>
  </si>
  <si>
    <t>Čerpání vody na výšku do 10 m, přítok do 500 l</t>
  </si>
  <si>
    <t>Pohotovost čerp.soupravy, výška 10 m, přítok 500 l</t>
  </si>
  <si>
    <t>Dočasné zajištění ocelového potrubí do DN 200 mm</t>
  </si>
  <si>
    <t>Dočasné zajištění kabelů - do počtu 3 kabelů</t>
  </si>
  <si>
    <t>Hloubené vykopávky</t>
  </si>
  <si>
    <t>Příplatek za ztížené hloubení v blízkosti vedení</t>
  </si>
  <si>
    <t>Bourání konstrukcí z betonu prostého</t>
  </si>
  <si>
    <t>Hloubení nezapažených jam v hor.3 do 1000 m3</t>
  </si>
  <si>
    <t>Hloubení nezapažených jam v hor.4 do 100 m3</t>
  </si>
  <si>
    <t>Hloubení rýh šířky do 200 cm v hor.3 do 100 m3</t>
  </si>
  <si>
    <t>Hloubení rýh šířky do 200 cm v hor.4 do 100 m3</t>
  </si>
  <si>
    <t>Roubení</t>
  </si>
  <si>
    <t>Pažení a rozepření stěn rýh - příložné - hl. do 2m</t>
  </si>
  <si>
    <t>Pažení a rozepření stěn rýh - příložné - hl. do 4m</t>
  </si>
  <si>
    <t>Odstranění pažení stěn rýh - příložné - hl. do 2 m</t>
  </si>
  <si>
    <t>Odstranění pažení stěn rýh - příložné - hl. do 4 m</t>
  </si>
  <si>
    <t>Přemístění výkopku</t>
  </si>
  <si>
    <t>Svislé přemístění výkopku z hor.1-4 do 2,5 m</t>
  </si>
  <si>
    <t>Svislé přemístění výkopku z hor.1-4 do 4,0 m</t>
  </si>
  <si>
    <t>Vodorovné přemístění výkopku z hor.1-4 do 10000 m</t>
  </si>
  <si>
    <t>Příplatek k vod. přemístění hor.1-4 za další 1 km</t>
  </si>
  <si>
    <t>Nakládání výkopku z hor.1-4 v množství do 100 m3</t>
  </si>
  <si>
    <t>Poplatek za skládku</t>
  </si>
  <si>
    <t>Konstrukce ze zemin</t>
  </si>
  <si>
    <t>Zásyp jam, rýh, šachet se zhutněním</t>
  </si>
  <si>
    <t>Obsyp potrubí bez prohození sypaniny</t>
  </si>
  <si>
    <t>Podkladní a vedlejší konstrukce (kromě vozovek a železničního svršku)</t>
  </si>
  <si>
    <t>Lože pod potrubí ze štěrkopísku do 63 mm</t>
  </si>
  <si>
    <t>Desky podkladní pod potrubí z betonu C 12/15</t>
  </si>
  <si>
    <t>Oprava stávající kanalizační šachty cementovým potěrem, utěsnění spár</t>
  </si>
  <si>
    <t>Podkladní vrstvy komunikací a zpevněných ploch</t>
  </si>
  <si>
    <t>Vyspravení podkladu po překopech štěrkopískem</t>
  </si>
  <si>
    <t>Vyspravení podkladu po překopech kam.obal.asfaltem</t>
  </si>
  <si>
    <t>Kryty štěrkových a živičných pozemních komunikací a zpevněných ploch</t>
  </si>
  <si>
    <t>Vyspravení krytu po překopu lit.asfaltem, do 6 cm</t>
  </si>
  <si>
    <t>Potrubí z trub plastických, skleněných a čedičových</t>
  </si>
  <si>
    <t>Montáž trub z plastu, gumový kroužek, DN 150</t>
  </si>
  <si>
    <t>Montáž trub z plastu, gumový kroužek, DN 200</t>
  </si>
  <si>
    <t>Montáž trub z plastu, gumový kroužek, DN 300</t>
  </si>
  <si>
    <t>Montáž tvarovek jednoos. plast. gum.kroužek DN 150</t>
  </si>
  <si>
    <t>Montáž tvarovek odboč. plast. gum. kroužek DN 200</t>
  </si>
  <si>
    <t>Montáž tvarovek jednoos. plast. gum.kroužek DN 200</t>
  </si>
  <si>
    <t>Montáž tvarovek odboč. plast. gum. kroužek DN 300</t>
  </si>
  <si>
    <t>Montáž tvarovek jednoos. plast. gum.kroužek DN 300</t>
  </si>
  <si>
    <t>Ostatní konstrukce a práce na trubním vedení</t>
  </si>
  <si>
    <t>Zkouška těsnosti kanalizace DN do 200, vodou</t>
  </si>
  <si>
    <t>Zkouška těsnosti kanalizace DN do 300, vodou</t>
  </si>
  <si>
    <t>Příplatek za dalších 0,60 m výšky vstupu</t>
  </si>
  <si>
    <t>Zřízení šachet z dílců, dno B 30, potrubí DN 300</t>
  </si>
  <si>
    <t>Šachta, DN 1000, plastová, s regulátorem odtoku 4,1 l/s, hloubka 3,27m, 2xDN300,1xDN200</t>
  </si>
  <si>
    <t>Šachta, DN 1000, plastová, hloubka 3,00m, 2xDN300</t>
  </si>
  <si>
    <t>Osazení plastové šachty revizní prům.425 mm, Wavin</t>
  </si>
  <si>
    <t>Osazení poklopu s rámem do 50 kg</t>
  </si>
  <si>
    <t>Osazení poklopu s rámem nad 150 kg</t>
  </si>
  <si>
    <t>Tlakové zkoušky potrubí, proplachování a dezinfekce potrubí</t>
  </si>
  <si>
    <t>Vsakovací bloky /dodávka a montáž bloků, rozdělovací potrubí, sběrné potrubí, geotextilie-2x(500 g/m2), hydroizolace 1x(PVC 2mm)</t>
  </si>
  <si>
    <t>Doplňující konstrukce a práce na pozemních komunikacích a zpevněných plochách</t>
  </si>
  <si>
    <t>Zarovnání styčné plochy živičné tl. do 20 cm</t>
  </si>
  <si>
    <t>Vedení trubní dálková a přípojná</t>
  </si>
  <si>
    <t>Přesun hmot, trubní vedení plastová, otevř. výkop</t>
  </si>
  <si>
    <t>Přesuny sutí</t>
  </si>
  <si>
    <t>Vodorovná doprava suti po suchu do 1 km</t>
  </si>
  <si>
    <t>Nakládání suti na dopravní prostředky</t>
  </si>
  <si>
    <t>Ostatní materiál</t>
  </si>
  <si>
    <t>Trubka PVC kanalizační hladká d160x3,6,SN4</t>
  </si>
  <si>
    <t>Trubka PVC kanalizační hladká d200x4,5 SN4</t>
  </si>
  <si>
    <t>Trubka kanalizační hladká SN 8 PVC 315x9,2</t>
  </si>
  <si>
    <t>Trubka korugovaná 2160 mm, průměr 425</t>
  </si>
  <si>
    <t>Koleno kanalizační 160/ 45° PVC</t>
  </si>
  <si>
    <t>Koleno kanalizační 200/ 45° PVC</t>
  </si>
  <si>
    <t>Redukce kanalizační 200/ 160 PVC</t>
  </si>
  <si>
    <t>Redukce kanalizační 250/ 200 PVC</t>
  </si>
  <si>
    <t>Redukce kanalizační 315/ 250 PVC</t>
  </si>
  <si>
    <t>Odbočka kanalizační 200/ 160/45° PVC</t>
  </si>
  <si>
    <t>Odbočka kanalizační 315/ 200/45° PVC</t>
  </si>
  <si>
    <t>Adaptér teleskopický 425 mm</t>
  </si>
  <si>
    <t>Dno šachetní PP DN 400/300/150 mm sběrné</t>
  </si>
  <si>
    <t>Poklop litina 425/40 t kruhový do teleskopu</t>
  </si>
  <si>
    <t>Poklop D400 litinový bez odvětrání</t>
  </si>
  <si>
    <t>Štěrkopísek frakce 0-22 A</t>
  </si>
  <si>
    <t>Skruž 1000/250/120</t>
  </si>
  <si>
    <t>Skruž 1000/500/120/</t>
  </si>
  <si>
    <t>Skruž 1000/1000/120</t>
  </si>
  <si>
    <t>Prstenec vyrovnávací 625/80/120</t>
  </si>
  <si>
    <t>Prstenec vyrovnávací 625/100/120</t>
  </si>
  <si>
    <t>Konus šachetní 00-63/58/12</t>
  </si>
  <si>
    <t>Dno šachetní přímé 100/60 V max. 40</t>
  </si>
  <si>
    <t>Dno šachetní přímé 100/100 V max. 60</t>
  </si>
  <si>
    <t>Doba výstavby:</t>
  </si>
  <si>
    <t>Začátek výstavby:</t>
  </si>
  <si>
    <t>Konec výstavby:</t>
  </si>
  <si>
    <t>Zpracováno dne:</t>
  </si>
  <si>
    <t>M.j.</t>
  </si>
  <si>
    <t>m</t>
  </si>
  <si>
    <t>m2</t>
  </si>
  <si>
    <t>h</t>
  </si>
  <si>
    <t>den</t>
  </si>
  <si>
    <t>m3</t>
  </si>
  <si>
    <t>t</t>
  </si>
  <si>
    <t>kus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</si>
  <si>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</si>
  <si>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</si>
  <si>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</si>
  <si>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</si>
  <si>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</si>
  <si>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</si>
  <si>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</si>
  <si>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</si>
  <si>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</si>
  <si>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</si>
  <si>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</si>
  <si>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</si>
  <si>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LT projekt a.s.</t>
  </si>
  <si>
    <t>Celkem</t>
  </si>
  <si>
    <t>Hmotnost (t)</t>
  </si>
  <si>
    <t>Přesuny</t>
  </si>
  <si>
    <t>Typ skupiny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</si>
  <si>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</si>
  <si>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</si>
  <si>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</si>
  <si>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</si>
  <si>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</si>
  <si>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</si>
  <si>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</si>
  <si>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</si>
  <si>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</si>
  <si>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</si>
  <si>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Náklady (Kč) - dodávka</t>
  </si>
  <si>
    <t>Náklady (Kč) - Montáž</t>
  </si>
  <si>
    <t>Náklady (Kč) - celkem</t>
  </si>
  <si>
    <t>Celková hmotnost (t)</t>
  </si>
  <si>
    <t>F</t>
  </si>
  <si>
    <t>Rozměry</t>
  </si>
  <si>
    <t>23,41+8,47+9,45+1,4+1,9+3,3+6,6+0,7+2,0</t>
  </si>
  <si>
    <t>(5,70+1,70)*1,50</t>
  </si>
  <si>
    <t>(5,70+1,70)*1,5</t>
  </si>
  <si>
    <t>1*1,50</t>
  </si>
  <si>
    <t>2*1,0</t>
  </si>
  <si>
    <t>2*1,34*1,10+2*1,34*1,80</t>
  </si>
  <si>
    <t>3*(0,35*0,12*0,35)   stáv.RŠ</t>
  </si>
  <si>
    <t>(1/3*3,27*(14,2*7,0*ODM(14,2*7,0*11,4*5,2)+11,4*5,2))*0,6</t>
  </si>
  <si>
    <t>(1/3*3,27*(14,2*7,0*ODM(14,2*7,0*11,4*5,2)+11,4*5,2))*0,4</t>
  </si>
  <si>
    <t>23,41*(3,36+2,80)/2*1,34*0,6   RN</t>
  </si>
  <si>
    <t>8,47*(1,73+1,45)/2*1,34*0,6   DP1</t>
  </si>
  <si>
    <t>9,45*(1,45+1,20)/2*1,12*0,6   DP1</t>
  </si>
  <si>
    <t>1,40*(1,54+1,14)/2*1,12*0,6   DP2</t>
  </si>
  <si>
    <t>1,90*(1,42+1,14)/2*1,10*0,6   DP3</t>
  </si>
  <si>
    <t>3,30*(1,58+1,2)/2*1,12*0,6   DP4</t>
  </si>
  <si>
    <t>6,60*(1,20+0,80)/2*1,10*0,6   ŽL1</t>
  </si>
  <si>
    <t>0,7*(1,2+0,8)/2*1,12*0,6   ŽL1</t>
  </si>
  <si>
    <t>2,0*(1,29+0,8)/2*1,10*0,6   ŽL2</t>
  </si>
  <si>
    <t>148,94*0,4</t>
  </si>
  <si>
    <t>8,47*(1,73+1,45)   DP1</t>
  </si>
  <si>
    <t>9,45*(1,45+1,20)   DP1</t>
  </si>
  <si>
    <t>1,40*(1,54+1,14)   DP2</t>
  </si>
  <si>
    <t>1,90*(1,42+1,14)   DP3</t>
  </si>
  <si>
    <t>3,3*(1,58+1,2)   DP4</t>
  </si>
  <si>
    <t>23,41*(3,36+2,80)   RN</t>
  </si>
  <si>
    <t>89,37+59,58-96,62   Rýhy</t>
  </si>
  <si>
    <t>156,55+104,36   Jámy</t>
  </si>
  <si>
    <t>96,62   Rýhy</t>
  </si>
  <si>
    <t>156,55+104,36+89,37+59,58   výkopy</t>
  </si>
  <si>
    <t>-7,09   lože</t>
  </si>
  <si>
    <t>-302,56   zásyp</t>
  </si>
  <si>
    <t>-7,20*4,0*0,99</t>
  </si>
  <si>
    <t>71,7*10   dalších 10 km, celkem 20 km</t>
  </si>
  <si>
    <t>71,07</t>
  </si>
  <si>
    <t>71,07*1,67</t>
  </si>
  <si>
    <t>137,97+257,77   výkopy</t>
  </si>
  <si>
    <t>-38,6   lože</t>
  </si>
  <si>
    <t>-30,25   obsyp</t>
  </si>
  <si>
    <t>-0,68   beton</t>
  </si>
  <si>
    <t>-23,65   nádrž</t>
  </si>
  <si>
    <t>(23,41+8,47)*1,34*0,5   DN300</t>
  </si>
  <si>
    <t>(9,45+1,40+3,30+0,70)*1,12*0,4   DN200</t>
  </si>
  <si>
    <t>(1,90+6,60+2,0)*1,10*0,35   DN150</t>
  </si>
  <si>
    <t>23,41*1,34*0,1   pro DN300</t>
  </si>
  <si>
    <t>8,47*1,34*0,1   pro DN300</t>
  </si>
  <si>
    <t>(9,45+1,40+3,30+0,70)*1,12*0,1   pro DN200</t>
  </si>
  <si>
    <t>(1,90+6,60+2,0)*1,10*0,1   pro DN150</t>
  </si>
  <si>
    <t>1,5*1,5*0,1*4</t>
  </si>
  <si>
    <t>6*3,14*1,0*5,22   6 ks RŠ</t>
  </si>
  <si>
    <t>(5,70+1,70)*1,50*0,2</t>
  </si>
  <si>
    <t>(5,70+1,70)*1,50*0,25*1,67</t>
  </si>
  <si>
    <t>1,90+6,60+0,80+2,0+1,20+0,60</t>
  </si>
  <si>
    <t>9,5+1,2+1,0+1,40+1,20+1,0+0,70</t>
  </si>
  <si>
    <t>8,50</t>
  </si>
  <si>
    <t>4*1,0</t>
  </si>
  <si>
    <t>1*1,0</t>
  </si>
  <si>
    <t>8*1,0   kolena</t>
  </si>
  <si>
    <t>2*1,0   redukce</t>
  </si>
  <si>
    <t>1,90+1,2+0,6+6,6+0,8+2,0   DN150</t>
  </si>
  <si>
    <t>9,5+1,2+1,0+1,4+1,2+1+0,7   DN200</t>
  </si>
  <si>
    <t>3*1,0   RŠ1</t>
  </si>
  <si>
    <t>3*1,0   nové</t>
  </si>
  <si>
    <t>5*1,0   stávající</t>
  </si>
  <si>
    <t>5*(0,80*0,80*0,66)   se žlábkem</t>
  </si>
  <si>
    <t>40*(0,80*0,80*0,66)   bez žlábku velké</t>
  </si>
  <si>
    <t>45*(0,80*0,80*0,33)   bez žlábku malé</t>
  </si>
  <si>
    <t>(5,70+1,70)*2</t>
  </si>
  <si>
    <t>125,9294+0,8553+10,8223+0,0006</t>
  </si>
  <si>
    <t>(5,70+1,70)*1,50*(0,24+0,40+0,098)</t>
  </si>
  <si>
    <t>1*8,19</t>
  </si>
  <si>
    <t>1,90+1,20+0,6+6,6+0,8+2,0</t>
  </si>
  <si>
    <t>9,5+1,2+1,0+1,4+1,2+1+0,7</t>
  </si>
  <si>
    <t>8,5</t>
  </si>
  <si>
    <t>1*1,0   RŠ2</t>
  </si>
  <si>
    <t>8*1,0</t>
  </si>
  <si>
    <t>3*1,0</t>
  </si>
  <si>
    <t>1*1,0   nové</t>
  </si>
  <si>
    <t>4*1,0   stávající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</si>
  <si>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</si>
  <si>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</si>
  <si>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</si>
  <si>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</si>
  <si>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</si>
  <si>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</si>
  <si>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</si>
  <si>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</si>
  <si>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</si>
  <si>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</si>
  <si>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</si>
  <si>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</si>
  <si>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</si>
  <si>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</si>
  <si>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</si>
  <si>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</si>
  <si>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</si>
  <si>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</si>
  <si>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</si>
  <si>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</si>
  <si>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</si>
  <si>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</si>
  <si>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</si>
  <si>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</si>
  <si>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</si>
  <si>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</si>
  <si>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IČ/DIČ:</t>
  </si>
  <si>
    <t>Položek:</t>
  </si>
  <si>
    <t>Datum:</t>
  </si>
  <si>
    <t>Náklady na umístění stavby (NUS)</t>
  </si>
  <si>
    <t>FN Brno</t>
  </si>
  <si>
    <t>Poznámka :</t>
  </si>
  <si>
    <t>Textová, výkresová i tabulková část PD tvoří jeden vzájemně se doplňující a provázaný celek. Jednotliví účastníci výběrového řízení se musí seznámit s projektovou dokumentací v návaznosti na soupis prací a na základě těchto informací části díla nacenit. Dále je potřeba při stanovení ceny dle vykázané výměry započítat všechny předpokládané doplňkové prvky a činnosti s touto položkou související tak, aby cena byla kompletní a prvek funkční.</t>
  </si>
  <si>
    <t>Krycí list</t>
  </si>
  <si>
    <t>Soupis prací - rekapitulace</t>
  </si>
  <si>
    <t>Soupis prací</t>
  </si>
  <si>
    <t>Soupis prací - výkaz</t>
  </si>
  <si>
    <t>Základ 15%</t>
  </si>
  <si>
    <t>Základ 21%</t>
  </si>
  <si>
    <t>DPH 15%</t>
  </si>
  <si>
    <t>DPH 21%</t>
  </si>
  <si>
    <t xml:space="preserve">Celkem: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</si>
</sst>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\ &quot;Kč&quot;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4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14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1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10" fillId="0" borderId="14" xfId="0" applyNumberFormat="1" applyFont="1" applyFill="1" applyBorder="1" applyAlignment="1" applyProtection="1">
      <alignment horizontal="right" vertical="center"/>
      <protection/>
    </xf>
    <xf numFmtId="49" fontId="1" fillId="33" borderId="19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4" fontId="3" fillId="33" borderId="19" xfId="0" applyNumberFormat="1" applyFont="1" applyFill="1" applyBorder="1" applyAlignment="1" applyProtection="1">
      <alignment horizontal="right" vertical="center" wrapText="1"/>
      <protection/>
    </xf>
    <xf numFmtId="49" fontId="3" fillId="33" borderId="19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 wrapText="1"/>
    </xf>
    <xf numFmtId="49" fontId="1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" fontId="3" fillId="33" borderId="0" xfId="0" applyNumberFormat="1" applyFont="1" applyFill="1" applyBorder="1" applyAlignment="1" applyProtection="1">
      <alignment horizontal="right" vertical="center" wrapText="1"/>
      <protection/>
    </xf>
    <xf numFmtId="49" fontId="3" fillId="33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49" fontId="1" fillId="0" borderId="20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left" vertical="center" wrapText="1"/>
      <protection/>
    </xf>
    <xf numFmtId="49" fontId="3" fillId="0" borderId="24" xfId="0" applyNumberFormat="1" applyFont="1" applyFill="1" applyBorder="1" applyAlignment="1" applyProtection="1">
      <alignment horizontal="left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49" fontId="3" fillId="0" borderId="29" xfId="0" applyNumberFormat="1" applyFont="1" applyFill="1" applyBorder="1" applyAlignment="1" applyProtection="1">
      <alignment horizontal="left" vertical="center" wrapText="1"/>
      <protection/>
    </xf>
    <xf numFmtId="49" fontId="3" fillId="0" borderId="30" xfId="0" applyNumberFormat="1" applyFont="1" applyFill="1" applyBorder="1" applyAlignment="1" applyProtection="1">
      <alignment horizontal="left" vertical="center" wrapText="1"/>
      <protection/>
    </xf>
    <xf numFmtId="49" fontId="3" fillId="0" borderId="30" xfId="0" applyNumberFormat="1" applyFont="1" applyFill="1" applyBorder="1" applyAlignment="1" applyProtection="1">
      <alignment horizontal="right" vertical="center" wrapText="1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Alignment="1">
      <alignment vertical="center"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" fontId="1" fillId="0" borderId="33" xfId="0" applyNumberFormat="1" applyFont="1" applyFill="1" applyBorder="1" applyAlignment="1" applyProtection="1">
      <alignment horizontal="righ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34" xfId="0" applyNumberFormat="1" applyFont="1" applyFill="1" applyBorder="1" applyAlignment="1" applyProtection="1">
      <alignment horizontal="righ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" fontId="1" fillId="0" borderId="36" xfId="0" applyNumberFormat="1" applyFont="1" applyBorder="1" applyAlignment="1">
      <alignment vertical="center"/>
    </xf>
    <xf numFmtId="4" fontId="1" fillId="0" borderId="36" xfId="0" applyNumberFormat="1" applyFont="1" applyFill="1" applyBorder="1" applyAlignment="1" applyProtection="1">
      <alignment horizontal="right" vertical="center"/>
      <protection/>
    </xf>
    <xf numFmtId="4" fontId="1" fillId="0" borderId="3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4" fontId="10" fillId="0" borderId="14" xfId="0" applyNumberFormat="1" applyFont="1" applyFill="1" applyBorder="1" applyAlignment="1" applyProtection="1">
      <alignment horizontal="right" vertical="center"/>
      <protection/>
    </xf>
    <xf numFmtId="4" fontId="9" fillId="33" borderId="38" xfId="0" applyNumberFormat="1" applyFont="1" applyFill="1" applyBorder="1" applyAlignment="1" applyProtection="1">
      <alignment horizontal="right" vertical="center"/>
      <protection/>
    </xf>
    <xf numFmtId="2" fontId="9" fillId="33" borderId="38" xfId="0" applyNumberFormat="1" applyFont="1" applyFill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41" xfId="0" applyNumberFormat="1" applyFont="1" applyFill="1" applyBorder="1" applyAlignment="1" applyProtection="1">
      <alignment horizontal="left" vertical="center"/>
      <protection/>
    </xf>
    <xf numFmtId="14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49" fontId="11" fillId="0" borderId="43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43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49" fontId="10" fillId="0" borderId="43" xfId="0" applyNumberFormat="1" applyFont="1" applyFill="1" applyBorder="1" applyAlignment="1" applyProtection="1">
      <alignment horizontal="left" vertical="center"/>
      <protection/>
    </xf>
    <xf numFmtId="0" fontId="10" fillId="0" borderId="38" xfId="0" applyNumberFormat="1" applyFont="1" applyFill="1" applyBorder="1" applyAlignment="1" applyProtection="1">
      <alignment horizontal="left" vertical="center"/>
      <protection/>
    </xf>
    <xf numFmtId="49" fontId="9" fillId="33" borderId="43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top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49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3" fillId="0" borderId="48" xfId="0" applyNumberFormat="1" applyFont="1" applyFill="1" applyBorder="1" applyAlignment="1" applyProtection="1">
      <alignment horizontal="center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66" fontId="9" fillId="33" borderId="38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P_2014\150-FN%20Brno%20-%20Heliport%20HEMS\pracovn&#237;\Nov&#225;%20slo&#382;ka\KA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90" zoomScaleNormal="90" zoomScalePageLayoutView="0" workbookViewId="0" topLeftCell="A1">
      <selection activeCell="J38" sqref="J38"/>
    </sheetView>
  </sheetViews>
  <sheetFormatPr defaultColWidth="11.421875" defaultRowHeight="12.75"/>
  <cols>
    <col min="1" max="1" width="9.140625" style="0" customWidth="1"/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7" max="7" width="9.140625" style="0" customWidth="1"/>
    <col min="8" max="8" width="14.28125" style="0" customWidth="1"/>
    <col min="9" max="9" width="22.421875" style="0" customWidth="1"/>
  </cols>
  <sheetData>
    <row r="1" spans="1:9" ht="28.5" customHeight="1">
      <c r="A1" s="81" t="s">
        <v>425</v>
      </c>
      <c r="B1" s="82"/>
      <c r="C1" s="82"/>
      <c r="D1" s="82"/>
      <c r="E1" s="82"/>
      <c r="F1" s="82"/>
      <c r="G1" s="82"/>
      <c r="H1" s="82"/>
      <c r="I1" s="82"/>
    </row>
    <row r="2" spans="1:10" ht="12.75">
      <c r="A2" s="83" t="s">
        <v>0</v>
      </c>
      <c r="B2" s="84"/>
      <c r="C2" s="90" t="s">
        <v>171</v>
      </c>
      <c r="D2" s="91"/>
      <c r="E2" s="95" t="s">
        <v>288</v>
      </c>
      <c r="F2" s="95" t="s">
        <v>422</v>
      </c>
      <c r="G2" s="84"/>
      <c r="H2" s="95" t="s">
        <v>418</v>
      </c>
      <c r="I2" s="96"/>
      <c r="J2" s="7"/>
    </row>
    <row r="3" spans="1:10" ht="12.75">
      <c r="A3" s="85"/>
      <c r="B3" s="86"/>
      <c r="C3" s="92"/>
      <c r="D3" s="92"/>
      <c r="E3" s="86"/>
      <c r="F3" s="86"/>
      <c r="G3" s="86"/>
      <c r="H3" s="86"/>
      <c r="I3" s="97"/>
      <c r="J3" s="7"/>
    </row>
    <row r="4" spans="1:10" ht="12.75">
      <c r="A4" s="87" t="s">
        <v>1</v>
      </c>
      <c r="B4" s="86"/>
      <c r="C4" s="93" t="s">
        <v>172</v>
      </c>
      <c r="D4" s="86"/>
      <c r="E4" s="93" t="s">
        <v>289</v>
      </c>
      <c r="F4" s="93" t="s">
        <v>293</v>
      </c>
      <c r="G4" s="86"/>
      <c r="H4" s="93" t="s">
        <v>418</v>
      </c>
      <c r="I4" s="98"/>
      <c r="J4" s="7"/>
    </row>
    <row r="5" spans="1:10" ht="12.75">
      <c r="A5" s="85"/>
      <c r="B5" s="86"/>
      <c r="C5" s="86"/>
      <c r="D5" s="86"/>
      <c r="E5" s="86"/>
      <c r="F5" s="86"/>
      <c r="G5" s="86"/>
      <c r="H5" s="86"/>
      <c r="I5" s="97"/>
      <c r="J5" s="7"/>
    </row>
    <row r="6" spans="1:10" ht="12.75">
      <c r="A6" s="87" t="s">
        <v>2</v>
      </c>
      <c r="B6" s="86"/>
      <c r="C6" s="93" t="s">
        <v>173</v>
      </c>
      <c r="D6" s="86"/>
      <c r="E6" s="93" t="s">
        <v>290</v>
      </c>
      <c r="F6" s="93" t="s">
        <v>4</v>
      </c>
      <c r="G6" s="86"/>
      <c r="H6" s="93" t="s">
        <v>418</v>
      </c>
      <c r="I6" s="98"/>
      <c r="J6" s="7"/>
    </row>
    <row r="7" spans="1:10" ht="12.75">
      <c r="A7" s="85"/>
      <c r="B7" s="86"/>
      <c r="C7" s="86"/>
      <c r="D7" s="86"/>
      <c r="E7" s="86"/>
      <c r="F7" s="86"/>
      <c r="G7" s="86"/>
      <c r="H7" s="86"/>
      <c r="I7" s="97"/>
      <c r="J7" s="7"/>
    </row>
    <row r="8" spans="1:10" ht="12.75">
      <c r="A8" s="87" t="s">
        <v>270</v>
      </c>
      <c r="B8" s="86"/>
      <c r="C8" s="94" t="s">
        <v>4</v>
      </c>
      <c r="D8" s="86"/>
      <c r="E8" s="93" t="s">
        <v>271</v>
      </c>
      <c r="F8" s="86"/>
      <c r="G8" s="86"/>
      <c r="H8" s="93" t="s">
        <v>419</v>
      </c>
      <c r="I8" s="98" t="s">
        <v>83</v>
      </c>
      <c r="J8" s="7"/>
    </row>
    <row r="9" spans="1:10" ht="12.75">
      <c r="A9" s="85"/>
      <c r="B9" s="86"/>
      <c r="C9" s="86"/>
      <c r="D9" s="86"/>
      <c r="E9" s="86"/>
      <c r="F9" s="86"/>
      <c r="G9" s="86"/>
      <c r="H9" s="86"/>
      <c r="I9" s="97"/>
      <c r="J9" s="7"/>
    </row>
    <row r="10" spans="1:10" ht="12.75">
      <c r="A10" s="87" t="s">
        <v>3</v>
      </c>
      <c r="B10" s="86"/>
      <c r="C10" s="93"/>
      <c r="D10" s="86"/>
      <c r="E10" s="93" t="s">
        <v>291</v>
      </c>
      <c r="F10" s="93"/>
      <c r="G10" s="86"/>
      <c r="H10" s="93" t="s">
        <v>420</v>
      </c>
      <c r="I10" s="99" t="s">
        <v>4</v>
      </c>
      <c r="J10" s="7"/>
    </row>
    <row r="11" spans="1:10" ht="12.75">
      <c r="A11" s="88"/>
      <c r="B11" s="89"/>
      <c r="C11" s="89"/>
      <c r="D11" s="89"/>
      <c r="E11" s="89"/>
      <c r="F11" s="89"/>
      <c r="G11" s="89"/>
      <c r="H11" s="89"/>
      <c r="I11" s="100"/>
      <c r="J11" s="7"/>
    </row>
    <row r="12" spans="1:9" ht="23.25" customHeight="1">
      <c r="A12" s="101" t="s">
        <v>392</v>
      </c>
      <c r="B12" s="102"/>
      <c r="C12" s="102"/>
      <c r="D12" s="102"/>
      <c r="E12" s="102"/>
      <c r="F12" s="102"/>
      <c r="G12" s="102"/>
      <c r="H12" s="102"/>
      <c r="I12" s="102"/>
    </row>
    <row r="13" spans="1:10" ht="26.25" customHeight="1">
      <c r="A13" s="15" t="s">
        <v>393</v>
      </c>
      <c r="B13" s="103" t="s">
        <v>400</v>
      </c>
      <c r="C13" s="104"/>
      <c r="D13" s="15" t="s">
        <v>402</v>
      </c>
      <c r="E13" s="103" t="s">
        <v>407</v>
      </c>
      <c r="F13" s="104"/>
      <c r="G13" s="15" t="s">
        <v>408</v>
      </c>
      <c r="H13" s="103" t="s">
        <v>421</v>
      </c>
      <c r="I13" s="104"/>
      <c r="J13" s="7"/>
    </row>
    <row r="14" spans="1:10" ht="15" customHeight="1">
      <c r="A14" s="16" t="s">
        <v>394</v>
      </c>
      <c r="B14" s="19" t="s">
        <v>401</v>
      </c>
      <c r="C14" s="78">
        <f>SUM('Soupis prací-rekapitulace'!D11:D24)</f>
        <v>268792.32</v>
      </c>
      <c r="D14" s="107" t="s">
        <v>403</v>
      </c>
      <c r="E14" s="108"/>
      <c r="F14" s="20"/>
      <c r="G14" s="107" t="s">
        <v>409</v>
      </c>
      <c r="H14" s="108"/>
      <c r="I14" s="20"/>
      <c r="J14" s="7"/>
    </row>
    <row r="15" spans="1:10" ht="15" customHeight="1">
      <c r="A15" s="17"/>
      <c r="B15" s="19" t="s">
        <v>292</v>
      </c>
      <c r="C15" s="78">
        <f>SUM('Soupis prací-rekapitulace'!E11:E24)</f>
        <v>269836.89999999997</v>
      </c>
      <c r="D15" s="107" t="s">
        <v>404</v>
      </c>
      <c r="E15" s="108"/>
      <c r="F15" s="20"/>
      <c r="G15" s="107" t="s">
        <v>410</v>
      </c>
      <c r="H15" s="108"/>
      <c r="I15" s="20"/>
      <c r="J15" s="7"/>
    </row>
    <row r="16" spans="1:10" ht="15" customHeight="1">
      <c r="A16" s="16" t="s">
        <v>395</v>
      </c>
      <c r="B16" s="19" t="s">
        <v>401</v>
      </c>
      <c r="C16" s="20"/>
      <c r="D16" s="107" t="s">
        <v>405</v>
      </c>
      <c r="E16" s="108"/>
      <c r="F16" s="20"/>
      <c r="G16" s="107" t="s">
        <v>411</v>
      </c>
      <c r="H16" s="108"/>
      <c r="I16" s="20"/>
      <c r="J16" s="7"/>
    </row>
    <row r="17" spans="1:10" ht="15" customHeight="1">
      <c r="A17" s="17"/>
      <c r="B17" s="19" t="s">
        <v>292</v>
      </c>
      <c r="C17" s="20"/>
      <c r="D17" s="107"/>
      <c r="E17" s="108"/>
      <c r="F17" s="22"/>
      <c r="G17" s="107" t="s">
        <v>412</v>
      </c>
      <c r="H17" s="108"/>
      <c r="I17" s="20"/>
      <c r="J17" s="7"/>
    </row>
    <row r="18" spans="1:10" ht="15" customHeight="1">
      <c r="A18" s="16" t="s">
        <v>396</v>
      </c>
      <c r="B18" s="19" t="s">
        <v>401</v>
      </c>
      <c r="C18" s="20"/>
      <c r="D18" s="107"/>
      <c r="E18" s="108"/>
      <c r="F18" s="22"/>
      <c r="G18" s="107" t="s">
        <v>413</v>
      </c>
      <c r="H18" s="108"/>
      <c r="I18" s="20"/>
      <c r="J18" s="7"/>
    </row>
    <row r="19" spans="1:10" ht="15" customHeight="1">
      <c r="A19" s="17"/>
      <c r="B19" s="19" t="s">
        <v>292</v>
      </c>
      <c r="C19" s="20"/>
      <c r="D19" s="107"/>
      <c r="E19" s="108"/>
      <c r="F19" s="22"/>
      <c r="G19" s="107" t="s">
        <v>414</v>
      </c>
      <c r="H19" s="108"/>
      <c r="I19" s="20"/>
      <c r="J19" s="7"/>
    </row>
    <row r="20" spans="1:10" ht="15" customHeight="1">
      <c r="A20" s="105" t="s">
        <v>244</v>
      </c>
      <c r="B20" s="106"/>
      <c r="C20" s="78">
        <f>'Soupis prací-rekapitulace'!D26+'Soupis prací-rekapitulace'!E26</f>
        <v>96737.8</v>
      </c>
      <c r="D20" s="107"/>
      <c r="E20" s="108"/>
      <c r="F20" s="22"/>
      <c r="G20" s="107"/>
      <c r="H20" s="108"/>
      <c r="I20" s="22"/>
      <c r="J20" s="7"/>
    </row>
    <row r="21" spans="1:10" ht="15" customHeight="1">
      <c r="A21" s="105" t="s">
        <v>397</v>
      </c>
      <c r="B21" s="106"/>
      <c r="C21" s="78">
        <f>'Soupis prací-rekapitulace'!D25+'Soupis prací-rekapitulace'!E25</f>
        <v>623.5</v>
      </c>
      <c r="D21" s="107"/>
      <c r="E21" s="108"/>
      <c r="F21" s="22"/>
      <c r="G21" s="107"/>
      <c r="H21" s="108"/>
      <c r="I21" s="22"/>
      <c r="J21" s="7"/>
    </row>
    <row r="22" spans="1:10" ht="16.5" customHeight="1">
      <c r="A22" s="105" t="s">
        <v>398</v>
      </c>
      <c r="B22" s="106"/>
      <c r="C22" s="78">
        <f>SUM(C14:C21)</f>
        <v>635990.52</v>
      </c>
      <c r="D22" s="105" t="s">
        <v>406</v>
      </c>
      <c r="E22" s="106"/>
      <c r="F22" s="20"/>
      <c r="G22" s="105" t="s">
        <v>415</v>
      </c>
      <c r="H22" s="106"/>
      <c r="I22" s="20"/>
      <c r="J22" s="7"/>
    </row>
    <row r="23" spans="1:9" ht="12.75">
      <c r="A23" s="18"/>
      <c r="B23" s="18"/>
      <c r="C23" s="18"/>
      <c r="D23" s="1"/>
      <c r="E23" s="1"/>
      <c r="F23" s="1"/>
      <c r="G23" s="1"/>
      <c r="H23" s="1"/>
      <c r="I23" s="1"/>
    </row>
    <row r="24" spans="1:9" ht="15" customHeight="1">
      <c r="A24" s="109" t="s">
        <v>399</v>
      </c>
      <c r="B24" s="110"/>
      <c r="C24" s="80">
        <v>0</v>
      </c>
      <c r="D24" s="21"/>
      <c r="E24" s="5"/>
      <c r="F24" s="5"/>
      <c r="G24" s="5"/>
      <c r="H24" s="5"/>
      <c r="I24" s="5"/>
    </row>
    <row r="25" spans="1:10" ht="15" customHeight="1">
      <c r="A25" s="109" t="s">
        <v>429</v>
      </c>
      <c r="B25" s="110"/>
      <c r="C25" s="80">
        <v>0</v>
      </c>
      <c r="D25" s="109" t="s">
        <v>431</v>
      </c>
      <c r="E25" s="110"/>
      <c r="F25" s="79">
        <f>ROUND(C25*(15/100),0)</f>
        <v>0</v>
      </c>
      <c r="G25" s="109" t="s">
        <v>416</v>
      </c>
      <c r="H25" s="110"/>
      <c r="I25" s="143">
        <f>C25+C26</f>
        <v>635990.52</v>
      </c>
      <c r="J25" s="7"/>
    </row>
    <row r="26" spans="1:10" ht="15" customHeight="1">
      <c r="A26" s="109" t="s">
        <v>430</v>
      </c>
      <c r="B26" s="110"/>
      <c r="C26" s="79">
        <f>C22</f>
        <v>635990.52</v>
      </c>
      <c r="D26" s="109" t="s">
        <v>432</v>
      </c>
      <c r="E26" s="110"/>
      <c r="F26" s="79">
        <f>ROUND(C26*(21/100),0)</f>
        <v>133558</v>
      </c>
      <c r="G26" s="109" t="s">
        <v>417</v>
      </c>
      <c r="H26" s="110"/>
      <c r="I26" s="143">
        <f>(F25+F26)+I25</f>
        <v>769548.52</v>
      </c>
      <c r="J26" s="7"/>
    </row>
    <row r="28" spans="1:7" ht="12.75">
      <c r="A28" s="40" t="s">
        <v>423</v>
      </c>
      <c r="B28" s="40"/>
      <c r="C28" s="40"/>
      <c r="D28" s="40"/>
      <c r="E28" s="40"/>
      <c r="F28" s="40"/>
      <c r="G28" s="40"/>
    </row>
    <row r="29" spans="1:7" ht="12.75">
      <c r="A29" s="40"/>
      <c r="B29" s="111" t="s">
        <v>424</v>
      </c>
      <c r="C29" s="111"/>
      <c r="D29" s="111"/>
      <c r="E29" s="111"/>
      <c r="F29" s="111"/>
      <c r="G29" s="111"/>
    </row>
    <row r="30" spans="1:7" ht="12.75">
      <c r="A30" s="41"/>
      <c r="B30" s="111"/>
      <c r="C30" s="111"/>
      <c r="D30" s="111"/>
      <c r="E30" s="111"/>
      <c r="F30" s="111"/>
      <c r="G30" s="111"/>
    </row>
    <row r="31" spans="1:7" ht="12.75">
      <c r="A31" s="41"/>
      <c r="B31" s="111"/>
      <c r="C31" s="111"/>
      <c r="D31" s="111"/>
      <c r="E31" s="111"/>
      <c r="F31" s="111"/>
      <c r="G31" s="111"/>
    </row>
    <row r="32" spans="1:7" ht="12.75">
      <c r="A32" s="41"/>
      <c r="B32" s="111"/>
      <c r="C32" s="111"/>
      <c r="D32" s="111"/>
      <c r="E32" s="111"/>
      <c r="F32" s="111"/>
      <c r="G32" s="111"/>
    </row>
    <row r="33" spans="1:7" ht="12.75">
      <c r="A33" s="41"/>
      <c r="B33" s="111"/>
      <c r="C33" s="111"/>
      <c r="D33" s="111"/>
      <c r="E33" s="111"/>
      <c r="F33" s="111"/>
      <c r="G33" s="111"/>
    </row>
    <row r="34" spans="1:7" ht="12.75">
      <c r="A34" s="41"/>
      <c r="B34" s="111"/>
      <c r="C34" s="111"/>
      <c r="D34" s="111"/>
      <c r="E34" s="111"/>
      <c r="F34" s="111"/>
      <c r="G34" s="111"/>
    </row>
    <row r="35" spans="1:7" ht="12.75">
      <c r="A35" s="41"/>
      <c r="B35" s="111"/>
      <c r="C35" s="111"/>
      <c r="D35" s="111"/>
      <c r="E35" s="111"/>
      <c r="F35" s="111"/>
      <c r="G35" s="111"/>
    </row>
    <row r="36" spans="1:7" ht="12.75">
      <c r="A36" s="41"/>
      <c r="B36" s="111"/>
      <c r="C36" s="111"/>
      <c r="D36" s="111"/>
      <c r="E36" s="111"/>
      <c r="F36" s="111"/>
      <c r="G36" s="111"/>
    </row>
    <row r="37" spans="1:7" ht="12.75">
      <c r="A37" s="41"/>
      <c r="B37" s="111"/>
      <c r="C37" s="111"/>
      <c r="D37" s="111"/>
      <c r="E37" s="111"/>
      <c r="F37" s="111"/>
      <c r="G37" s="111"/>
    </row>
  </sheetData>
  <sheetProtection/>
  <mergeCells count="64">
    <mergeCell ref="B29:G37"/>
    <mergeCell ref="A26:B26"/>
    <mergeCell ref="D25:E25"/>
    <mergeCell ref="D26:E26"/>
    <mergeCell ref="G25:H25"/>
    <mergeCell ref="G26:H26"/>
    <mergeCell ref="G19:H19"/>
    <mergeCell ref="G20:H20"/>
    <mergeCell ref="G21:H21"/>
    <mergeCell ref="G22:H22"/>
    <mergeCell ref="A24:B24"/>
    <mergeCell ref="A25:B25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C10:D11"/>
    <mergeCell ref="E2:E3"/>
    <mergeCell ref="E4:E5"/>
    <mergeCell ref="E6:E7"/>
    <mergeCell ref="E8:E9"/>
    <mergeCell ref="E10:E11"/>
    <mergeCell ref="A1:I1"/>
    <mergeCell ref="A2:B3"/>
    <mergeCell ref="A4:B5"/>
    <mergeCell ref="A6:B7"/>
    <mergeCell ref="A8:B9"/>
    <mergeCell ref="A10:B11"/>
    <mergeCell ref="C2:D3"/>
    <mergeCell ref="C4:D5"/>
    <mergeCell ref="C6:D7"/>
    <mergeCell ref="C8:D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C1">
      <selection activeCell="D11" sqref="D11"/>
    </sheetView>
  </sheetViews>
  <sheetFormatPr defaultColWidth="11.421875" defaultRowHeight="12.75"/>
  <cols>
    <col min="1" max="2" width="16.57421875" style="0" customWidth="1"/>
    <col min="3" max="3" width="71.8515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2.140625" style="0" hidden="1" customWidth="1"/>
  </cols>
  <sheetData>
    <row r="1" spans="1:7" ht="21.75" customHeight="1">
      <c r="A1" s="112" t="s">
        <v>426</v>
      </c>
      <c r="B1" s="113"/>
      <c r="C1" s="113"/>
      <c r="D1" s="113"/>
      <c r="E1" s="113"/>
      <c r="F1" s="113"/>
      <c r="G1" s="5"/>
    </row>
    <row r="2" spans="1:8" ht="12.75">
      <c r="A2" s="83" t="s">
        <v>0</v>
      </c>
      <c r="B2" s="90" t="s">
        <v>171</v>
      </c>
      <c r="C2" s="91"/>
      <c r="D2" s="95" t="s">
        <v>288</v>
      </c>
      <c r="E2" s="95" t="s">
        <v>422</v>
      </c>
      <c r="F2" s="84"/>
      <c r="G2" s="116"/>
      <c r="H2" s="7"/>
    </row>
    <row r="3" spans="1:8" ht="12.75">
      <c r="A3" s="85"/>
      <c r="B3" s="92"/>
      <c r="C3" s="92"/>
      <c r="D3" s="86"/>
      <c r="E3" s="86"/>
      <c r="F3" s="86"/>
      <c r="G3" s="97"/>
      <c r="H3" s="7"/>
    </row>
    <row r="4" spans="1:8" ht="12.75">
      <c r="A4" s="87" t="s">
        <v>1</v>
      </c>
      <c r="B4" s="93" t="s">
        <v>172</v>
      </c>
      <c r="C4" s="86"/>
      <c r="D4" s="93" t="s">
        <v>289</v>
      </c>
      <c r="E4" s="93" t="s">
        <v>293</v>
      </c>
      <c r="F4" s="86"/>
      <c r="G4" s="97"/>
      <c r="H4" s="7"/>
    </row>
    <row r="5" spans="1:8" ht="12.75">
      <c r="A5" s="85"/>
      <c r="B5" s="86"/>
      <c r="C5" s="86"/>
      <c r="D5" s="86"/>
      <c r="E5" s="86"/>
      <c r="F5" s="86"/>
      <c r="G5" s="97"/>
      <c r="H5" s="7"/>
    </row>
    <row r="6" spans="1:8" ht="12.75">
      <c r="A6" s="87" t="s">
        <v>2</v>
      </c>
      <c r="B6" s="93" t="s">
        <v>173</v>
      </c>
      <c r="C6" s="86"/>
      <c r="D6" s="93" t="s">
        <v>290</v>
      </c>
      <c r="E6" s="93" t="s">
        <v>4</v>
      </c>
      <c r="F6" s="86"/>
      <c r="G6" s="97"/>
      <c r="H6" s="7"/>
    </row>
    <row r="7" spans="1:8" ht="12.75">
      <c r="A7" s="85"/>
      <c r="B7" s="86"/>
      <c r="C7" s="86"/>
      <c r="D7" s="86"/>
      <c r="E7" s="86"/>
      <c r="F7" s="86"/>
      <c r="G7" s="97"/>
      <c r="H7" s="7"/>
    </row>
    <row r="8" spans="1:8" ht="12.75">
      <c r="A8" s="87" t="s">
        <v>291</v>
      </c>
      <c r="B8" s="93"/>
      <c r="C8" s="86"/>
      <c r="D8" s="93" t="s">
        <v>272</v>
      </c>
      <c r="E8" s="94" t="s">
        <v>4</v>
      </c>
      <c r="F8" s="86"/>
      <c r="G8" s="97"/>
      <c r="H8" s="7"/>
    </row>
    <row r="9" spans="1:8" ht="13.5" thickBot="1">
      <c r="A9" s="114"/>
      <c r="B9" s="115"/>
      <c r="C9" s="115"/>
      <c r="D9" s="115"/>
      <c r="E9" s="115"/>
      <c r="F9" s="115"/>
      <c r="G9" s="117"/>
      <c r="H9" s="7"/>
    </row>
    <row r="10" spans="1:8" ht="12.75">
      <c r="A10" s="67" t="s">
        <v>84</v>
      </c>
      <c r="B10" s="59" t="s">
        <v>85</v>
      </c>
      <c r="C10" s="60" t="s">
        <v>174</v>
      </c>
      <c r="D10" s="61" t="s">
        <v>308</v>
      </c>
      <c r="E10" s="61" t="s">
        <v>309</v>
      </c>
      <c r="F10" s="61" t="s">
        <v>310</v>
      </c>
      <c r="G10" s="62" t="s">
        <v>311</v>
      </c>
      <c r="H10" s="66"/>
    </row>
    <row r="11" spans="1:9" ht="12.75">
      <c r="A11" s="68"/>
      <c r="B11" s="57" t="s">
        <v>86</v>
      </c>
      <c r="C11" s="57" t="s">
        <v>175</v>
      </c>
      <c r="D11" s="63">
        <f>'Soupis prací'!H12</f>
        <v>0</v>
      </c>
      <c r="E11" s="63">
        <f>'Soupis prací'!I12</f>
        <v>2174.74</v>
      </c>
      <c r="F11" s="64">
        <f aca="true" t="shared" si="0" ref="F11:F26">D11+E11</f>
        <v>2174.74</v>
      </c>
      <c r="G11" s="69">
        <v>0</v>
      </c>
      <c r="H11" s="11" t="s">
        <v>312</v>
      </c>
      <c r="I11" s="11">
        <f aca="true" t="shared" si="1" ref="I11:I26">IF(H11="T",0,F11)</f>
        <v>2174.74</v>
      </c>
    </row>
    <row r="12" spans="1:9" ht="12.75">
      <c r="A12" s="70"/>
      <c r="B12" s="2" t="s">
        <v>16</v>
      </c>
      <c r="C12" s="2" t="s">
        <v>177</v>
      </c>
      <c r="D12" s="65">
        <f>'Soupis prací'!H14</f>
        <v>227.37</v>
      </c>
      <c r="E12" s="65">
        <f>'Soupis prací'!I14</f>
        <v>9733.669999999998</v>
      </c>
      <c r="F12" s="11">
        <f t="shared" si="0"/>
        <v>9961.039999999999</v>
      </c>
      <c r="G12" s="71">
        <v>8.2544</v>
      </c>
      <c r="H12" s="11" t="s">
        <v>312</v>
      </c>
      <c r="I12" s="11">
        <f t="shared" si="1"/>
        <v>9961.039999999999</v>
      </c>
    </row>
    <row r="13" spans="1:9" ht="12.75">
      <c r="A13" s="70"/>
      <c r="B13" s="2" t="s">
        <v>18</v>
      </c>
      <c r="C13" s="2" t="s">
        <v>185</v>
      </c>
      <c r="D13" s="65">
        <f>'Soupis prací'!H22</f>
        <v>0</v>
      </c>
      <c r="E13" s="65">
        <f>'Soupis prací'!I22</f>
        <v>49112.11000000001</v>
      </c>
      <c r="F13" s="11">
        <f t="shared" si="0"/>
        <v>49112.11000000001</v>
      </c>
      <c r="G13" s="71">
        <v>0</v>
      </c>
      <c r="H13" s="11" t="s">
        <v>312</v>
      </c>
      <c r="I13" s="11">
        <f t="shared" si="1"/>
        <v>49112.11000000001</v>
      </c>
    </row>
    <row r="14" spans="1:9" ht="12.75">
      <c r="A14" s="70"/>
      <c r="B14" s="2" t="s">
        <v>20</v>
      </c>
      <c r="C14" s="2" t="s">
        <v>192</v>
      </c>
      <c r="D14" s="65">
        <f>'Soupis prací'!H29</f>
        <v>1885.56</v>
      </c>
      <c r="E14" s="65">
        <f>'Soupis prací'!I29</f>
        <v>23638.300000000003</v>
      </c>
      <c r="F14" s="11">
        <f t="shared" si="0"/>
        <v>25523.860000000004</v>
      </c>
      <c r="G14" s="71">
        <v>0.19307</v>
      </c>
      <c r="H14" s="11" t="s">
        <v>312</v>
      </c>
      <c r="I14" s="11">
        <f t="shared" si="1"/>
        <v>25523.860000000004</v>
      </c>
    </row>
    <row r="15" spans="1:9" ht="12.75">
      <c r="A15" s="70"/>
      <c r="B15" s="2" t="s">
        <v>21</v>
      </c>
      <c r="C15" s="2" t="s">
        <v>197</v>
      </c>
      <c r="D15" s="65">
        <f>'Soupis prací'!H34</f>
        <v>17803.5</v>
      </c>
      <c r="E15" s="65">
        <f>'Soupis prací'!I34</f>
        <v>54212.28999999999</v>
      </c>
      <c r="F15" s="11">
        <f t="shared" si="0"/>
        <v>72015.79</v>
      </c>
      <c r="G15" s="71">
        <v>0</v>
      </c>
      <c r="H15" s="11" t="s">
        <v>312</v>
      </c>
      <c r="I15" s="11">
        <f t="shared" si="1"/>
        <v>72015.79</v>
      </c>
    </row>
    <row r="16" spans="1:9" ht="12.75">
      <c r="A16" s="70"/>
      <c r="B16" s="2" t="s">
        <v>22</v>
      </c>
      <c r="C16" s="2" t="s">
        <v>204</v>
      </c>
      <c r="D16" s="65">
        <f>'Soupis prací'!H41</f>
        <v>0</v>
      </c>
      <c r="E16" s="65">
        <f>'Soupis prací'!I41</f>
        <v>44432.59</v>
      </c>
      <c r="F16" s="11">
        <f t="shared" si="0"/>
        <v>44432.59</v>
      </c>
      <c r="G16" s="71">
        <v>0</v>
      </c>
      <c r="H16" s="11" t="s">
        <v>312</v>
      </c>
      <c r="I16" s="11">
        <f t="shared" si="1"/>
        <v>44432.59</v>
      </c>
    </row>
    <row r="17" spans="1:9" ht="12.75">
      <c r="A17" s="70"/>
      <c r="B17" s="2" t="s">
        <v>50</v>
      </c>
      <c r="C17" s="2" t="s">
        <v>207</v>
      </c>
      <c r="D17" s="65">
        <f>'Soupis prací'!H44</f>
        <v>25116.64</v>
      </c>
      <c r="E17" s="65">
        <f>'Soupis prací'!I44</f>
        <v>13508.960000000003</v>
      </c>
      <c r="F17" s="11">
        <f t="shared" si="0"/>
        <v>38625.600000000006</v>
      </c>
      <c r="G17" s="71">
        <v>23.60733</v>
      </c>
      <c r="H17" s="11" t="s">
        <v>312</v>
      </c>
      <c r="I17" s="11">
        <f t="shared" si="1"/>
        <v>38625.600000000006</v>
      </c>
    </row>
    <row r="18" spans="1:9" ht="12.75">
      <c r="A18" s="70"/>
      <c r="B18" s="2" t="s">
        <v>61</v>
      </c>
      <c r="C18" s="2" t="s">
        <v>211</v>
      </c>
      <c r="D18" s="65">
        <f>'Soupis prací'!H48</f>
        <v>7926.3</v>
      </c>
      <c r="E18" s="65">
        <f>'Soupis prací'!I48</f>
        <v>537.4299999999996</v>
      </c>
      <c r="F18" s="11">
        <f t="shared" si="0"/>
        <v>8463.73</v>
      </c>
      <c r="G18" s="71">
        <v>8.37447</v>
      </c>
      <c r="H18" s="11" t="s">
        <v>312</v>
      </c>
      <c r="I18" s="11">
        <f t="shared" si="1"/>
        <v>8463.73</v>
      </c>
    </row>
    <row r="19" spans="1:9" ht="12.75">
      <c r="A19" s="70"/>
      <c r="B19" s="2" t="s">
        <v>62</v>
      </c>
      <c r="C19" s="2" t="s">
        <v>214</v>
      </c>
      <c r="D19" s="65">
        <f>'Soupis prací'!H51</f>
        <v>5087.02</v>
      </c>
      <c r="E19" s="65">
        <f>'Soupis prací'!I51</f>
        <v>959.4799999999996</v>
      </c>
      <c r="F19" s="11">
        <f t="shared" si="0"/>
        <v>6046.5</v>
      </c>
      <c r="G19" s="71">
        <v>1.40526</v>
      </c>
      <c r="H19" s="11" t="s">
        <v>312</v>
      </c>
      <c r="I19" s="11">
        <f t="shared" si="1"/>
        <v>6046.5</v>
      </c>
    </row>
    <row r="20" spans="1:9" ht="12.75">
      <c r="A20" s="70"/>
      <c r="B20" s="2" t="s">
        <v>119</v>
      </c>
      <c r="C20" s="2" t="s">
        <v>216</v>
      </c>
      <c r="D20" s="65">
        <f>'Soupis prací'!H53</f>
        <v>17.65</v>
      </c>
      <c r="E20" s="65">
        <f>'Soupis prací'!I53</f>
        <v>2681.7999999999997</v>
      </c>
      <c r="F20" s="11">
        <f t="shared" si="0"/>
        <v>2699.45</v>
      </c>
      <c r="G20" s="71">
        <v>0.00063</v>
      </c>
      <c r="H20" s="11" t="s">
        <v>312</v>
      </c>
      <c r="I20" s="11">
        <f t="shared" si="1"/>
        <v>2699.45</v>
      </c>
    </row>
    <row r="21" spans="1:9" ht="12.75">
      <c r="A21" s="70"/>
      <c r="B21" s="2" t="s">
        <v>128</v>
      </c>
      <c r="C21" s="2" t="s">
        <v>225</v>
      </c>
      <c r="D21" s="65">
        <f>'Soupis prací'!H62</f>
        <v>63953.24</v>
      </c>
      <c r="E21" s="65">
        <f>'Soupis prací'!I62</f>
        <v>32897.04</v>
      </c>
      <c r="F21" s="11">
        <f t="shared" si="0"/>
        <v>96850.28</v>
      </c>
      <c r="G21" s="71">
        <v>10.82228</v>
      </c>
      <c r="H21" s="11" t="s">
        <v>312</v>
      </c>
      <c r="I21" s="11">
        <f t="shared" si="1"/>
        <v>96850.28</v>
      </c>
    </row>
    <row r="22" spans="1:9" ht="12.75">
      <c r="A22" s="70"/>
      <c r="B22" s="2" t="s">
        <v>138</v>
      </c>
      <c r="C22" s="2" t="s">
        <v>235</v>
      </c>
      <c r="D22" s="65">
        <f>'Soupis prací'!H72</f>
        <v>146775.04</v>
      </c>
      <c r="E22" s="65">
        <f>'Soupis prací'!I72</f>
        <v>11290.389999999985</v>
      </c>
      <c r="F22" s="11">
        <f t="shared" si="0"/>
        <v>158065.43</v>
      </c>
      <c r="G22" s="71">
        <v>0.8553</v>
      </c>
      <c r="H22" s="11" t="s">
        <v>312</v>
      </c>
      <c r="I22" s="11">
        <f t="shared" si="1"/>
        <v>158065.43</v>
      </c>
    </row>
    <row r="23" spans="1:9" ht="12.75">
      <c r="A23" s="70"/>
      <c r="B23" s="2" t="s">
        <v>140</v>
      </c>
      <c r="C23" s="2" t="s">
        <v>237</v>
      </c>
      <c r="D23" s="65">
        <f>'Soupis prací'!H74</f>
        <v>0</v>
      </c>
      <c r="E23" s="65">
        <f>'Soupis prací'!I74</f>
        <v>663.04</v>
      </c>
      <c r="F23" s="11">
        <f t="shared" si="0"/>
        <v>663.04</v>
      </c>
      <c r="G23" s="71">
        <v>0</v>
      </c>
      <c r="H23" s="11" t="s">
        <v>312</v>
      </c>
      <c r="I23" s="11">
        <f t="shared" si="1"/>
        <v>663.04</v>
      </c>
    </row>
    <row r="24" spans="1:9" ht="12.75">
      <c r="A24" s="70"/>
      <c r="B24" s="2" t="s">
        <v>142</v>
      </c>
      <c r="C24" s="2" t="s">
        <v>239</v>
      </c>
      <c r="D24" s="65">
        <f>'Soupis prací'!H76</f>
        <v>0</v>
      </c>
      <c r="E24" s="65">
        <f>'Soupis prací'!I76</f>
        <v>23995.06</v>
      </c>
      <c r="F24" s="11">
        <f t="shared" si="0"/>
        <v>23995.06</v>
      </c>
      <c r="G24" s="71">
        <v>0</v>
      </c>
      <c r="H24" s="11" t="s">
        <v>312</v>
      </c>
      <c r="I24" s="11">
        <f t="shared" si="1"/>
        <v>23995.06</v>
      </c>
    </row>
    <row r="25" spans="1:9" ht="12.75">
      <c r="A25" s="70"/>
      <c r="B25" s="2" t="s">
        <v>144</v>
      </c>
      <c r="C25" s="2" t="s">
        <v>241</v>
      </c>
      <c r="D25" s="65">
        <f>'Soupis prací'!H78</f>
        <v>0</v>
      </c>
      <c r="E25" s="65">
        <f>'Soupis prací'!I78</f>
        <v>623.5</v>
      </c>
      <c r="F25" s="11">
        <f t="shared" si="0"/>
        <v>623.5</v>
      </c>
      <c r="G25" s="71">
        <v>0</v>
      </c>
      <c r="H25" s="11" t="s">
        <v>312</v>
      </c>
      <c r="I25" s="11">
        <f t="shared" si="1"/>
        <v>623.5</v>
      </c>
    </row>
    <row r="26" spans="1:9" ht="13.5" thickBot="1">
      <c r="A26" s="72"/>
      <c r="B26" s="73"/>
      <c r="C26" s="73" t="s">
        <v>244</v>
      </c>
      <c r="D26" s="74">
        <f>'Soupis prací'!H81</f>
        <v>96737.8</v>
      </c>
      <c r="E26" s="74">
        <f>'Soupis prací'!I81</f>
        <v>0</v>
      </c>
      <c r="F26" s="75">
        <f t="shared" si="0"/>
        <v>96737.8</v>
      </c>
      <c r="G26" s="76">
        <v>125.92944</v>
      </c>
      <c r="H26" s="11" t="s">
        <v>312</v>
      </c>
      <c r="I26" s="11">
        <f t="shared" si="1"/>
        <v>96737.8</v>
      </c>
    </row>
    <row r="27" spans="3:5" ht="12.75">
      <c r="C27" s="77" t="s">
        <v>433</v>
      </c>
      <c r="D27" s="58">
        <f>SUM(D11:D26)</f>
        <v>365530.12</v>
      </c>
      <c r="E27" s="58">
        <f>SUM(E11:E26)</f>
        <v>270460.39999999997</v>
      </c>
    </row>
    <row r="29" spans="5:6" ht="12.75">
      <c r="E29" s="14" t="s">
        <v>287</v>
      </c>
      <c r="F29" s="13">
        <f>SUM(I11:I26)</f>
        <v>635990.5200000001</v>
      </c>
    </row>
  </sheetData>
  <sheetProtection/>
  <mergeCells count="17">
    <mergeCell ref="D4:D5"/>
    <mergeCell ref="D6:D7"/>
    <mergeCell ref="D8:D9"/>
    <mergeCell ref="E2:G3"/>
    <mergeCell ref="E4:G5"/>
    <mergeCell ref="E6:G7"/>
    <mergeCell ref="E8:G9"/>
    <mergeCell ref="A1:F1"/>
    <mergeCell ref="A2:A3"/>
    <mergeCell ref="A4:A5"/>
    <mergeCell ref="A6:A7"/>
    <mergeCell ref="A8:A9"/>
    <mergeCell ref="B2:C3"/>
    <mergeCell ref="B4:C5"/>
    <mergeCell ref="B6:C7"/>
    <mergeCell ref="B8:C9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6"/>
  <sheetViews>
    <sheetView zoomScalePageLayoutView="0" workbookViewId="0" topLeftCell="A1">
      <selection activeCell="AM17" sqref="AM17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61.8515625" style="0" customWidth="1"/>
    <col min="5" max="5" width="4.28125" style="0" customWidth="1"/>
    <col min="6" max="6" width="10.8515625" style="0" customWidth="1"/>
    <col min="7" max="7" width="14.00390625" style="0" customWidth="1"/>
    <col min="8" max="10" width="14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118" t="s">
        <v>427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3" ht="12.75">
      <c r="A2" s="120" t="s">
        <v>0</v>
      </c>
      <c r="B2" s="121"/>
      <c r="C2" s="121"/>
      <c r="D2" s="127" t="s">
        <v>171</v>
      </c>
      <c r="E2" s="130" t="s">
        <v>269</v>
      </c>
      <c r="F2" s="121"/>
      <c r="G2" s="130"/>
      <c r="H2" s="121"/>
      <c r="I2" s="130" t="s">
        <v>288</v>
      </c>
      <c r="J2" s="130" t="s">
        <v>422</v>
      </c>
      <c r="K2" s="121"/>
      <c r="L2" s="132"/>
      <c r="M2" s="7"/>
    </row>
    <row r="3" spans="1:13" ht="12.75">
      <c r="A3" s="122"/>
      <c r="B3" s="123"/>
      <c r="C3" s="123"/>
      <c r="D3" s="128"/>
      <c r="E3" s="123"/>
      <c r="F3" s="123"/>
      <c r="G3" s="123"/>
      <c r="H3" s="123"/>
      <c r="I3" s="123"/>
      <c r="J3" s="123"/>
      <c r="K3" s="123"/>
      <c r="L3" s="133"/>
      <c r="M3" s="7"/>
    </row>
    <row r="4" spans="1:13" ht="12.75">
      <c r="A4" s="124" t="s">
        <v>1</v>
      </c>
      <c r="B4" s="123"/>
      <c r="C4" s="123"/>
      <c r="D4" s="129" t="s">
        <v>172</v>
      </c>
      <c r="E4" s="129" t="s">
        <v>270</v>
      </c>
      <c r="F4" s="123"/>
      <c r="G4" s="131" t="s">
        <v>4</v>
      </c>
      <c r="H4" s="123"/>
      <c r="I4" s="129" t="s">
        <v>289</v>
      </c>
      <c r="J4" s="129" t="s">
        <v>293</v>
      </c>
      <c r="K4" s="123"/>
      <c r="L4" s="133"/>
      <c r="M4" s="7"/>
    </row>
    <row r="5" spans="1:13" ht="12.75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33"/>
      <c r="M5" s="7"/>
    </row>
    <row r="6" spans="1:13" ht="12.75">
      <c r="A6" s="124" t="s">
        <v>2</v>
      </c>
      <c r="B6" s="123"/>
      <c r="C6" s="123"/>
      <c r="D6" s="129" t="s">
        <v>173</v>
      </c>
      <c r="E6" s="129" t="s">
        <v>271</v>
      </c>
      <c r="F6" s="123"/>
      <c r="G6" s="123"/>
      <c r="H6" s="123"/>
      <c r="I6" s="129" t="s">
        <v>290</v>
      </c>
      <c r="J6" s="129" t="s">
        <v>4</v>
      </c>
      <c r="K6" s="123"/>
      <c r="L6" s="133"/>
      <c r="M6" s="7"/>
    </row>
    <row r="7" spans="1:13" ht="12.7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33"/>
      <c r="M7" s="7"/>
    </row>
    <row r="8" spans="1:13" ht="12.75">
      <c r="A8" s="124" t="s">
        <v>3</v>
      </c>
      <c r="B8" s="123"/>
      <c r="C8" s="123"/>
      <c r="D8" s="129"/>
      <c r="E8" s="129" t="s">
        <v>272</v>
      </c>
      <c r="F8" s="123"/>
      <c r="G8" s="131" t="s">
        <v>4</v>
      </c>
      <c r="H8" s="123"/>
      <c r="I8" s="129" t="s">
        <v>291</v>
      </c>
      <c r="J8" s="129"/>
      <c r="K8" s="123"/>
      <c r="L8" s="133"/>
      <c r="M8" s="7"/>
    </row>
    <row r="9" spans="1:13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34"/>
      <c r="M9" s="7"/>
    </row>
    <row r="10" spans="1:13" ht="12.75">
      <c r="A10" s="42" t="s">
        <v>4</v>
      </c>
      <c r="B10" s="43" t="s">
        <v>4</v>
      </c>
      <c r="C10" s="43" t="s">
        <v>4</v>
      </c>
      <c r="D10" s="43" t="s">
        <v>4</v>
      </c>
      <c r="E10" s="43" t="s">
        <v>4</v>
      </c>
      <c r="F10" s="43" t="s">
        <v>4</v>
      </c>
      <c r="G10" s="44" t="s">
        <v>283</v>
      </c>
      <c r="H10" s="135" t="s">
        <v>285</v>
      </c>
      <c r="I10" s="136"/>
      <c r="J10" s="137"/>
      <c r="K10" s="135" t="s">
        <v>295</v>
      </c>
      <c r="L10" s="137"/>
      <c r="M10" s="8"/>
    </row>
    <row r="11" spans="1:24" ht="38.25">
      <c r="A11" s="45" t="s">
        <v>5</v>
      </c>
      <c r="B11" s="46" t="s">
        <v>84</v>
      </c>
      <c r="C11" s="46" t="s">
        <v>85</v>
      </c>
      <c r="D11" s="46" t="s">
        <v>174</v>
      </c>
      <c r="E11" s="46" t="s">
        <v>273</v>
      </c>
      <c r="F11" s="47" t="s">
        <v>282</v>
      </c>
      <c r="G11" s="48" t="s">
        <v>284</v>
      </c>
      <c r="H11" s="49" t="s">
        <v>286</v>
      </c>
      <c r="I11" s="50" t="s">
        <v>292</v>
      </c>
      <c r="J11" s="51" t="s">
        <v>294</v>
      </c>
      <c r="K11" s="49" t="s">
        <v>283</v>
      </c>
      <c r="L11" s="51" t="s">
        <v>294</v>
      </c>
      <c r="M11" s="8"/>
      <c r="P11" s="6" t="s">
        <v>296</v>
      </c>
      <c r="Q11" s="6" t="s">
        <v>297</v>
      </c>
      <c r="R11" s="6" t="s">
        <v>301</v>
      </c>
      <c r="S11" s="6" t="s">
        <v>302</v>
      </c>
      <c r="T11" s="6" t="s">
        <v>303</v>
      </c>
      <c r="U11" s="6" t="s">
        <v>304</v>
      </c>
      <c r="V11" s="6" t="s">
        <v>305</v>
      </c>
      <c r="W11" s="6" t="s">
        <v>306</v>
      </c>
      <c r="X11" s="6" t="s">
        <v>307</v>
      </c>
    </row>
    <row r="12" spans="1:37" ht="12.75">
      <c r="A12" s="23"/>
      <c r="B12" s="23"/>
      <c r="C12" s="24" t="s">
        <v>86</v>
      </c>
      <c r="D12" s="138" t="s">
        <v>175</v>
      </c>
      <c r="E12" s="139"/>
      <c r="F12" s="139"/>
      <c r="G12" s="139"/>
      <c r="H12" s="25">
        <f>SUM(H13:H13)</f>
        <v>0</v>
      </c>
      <c r="I12" s="25">
        <f>SUM(I13:I13)</f>
        <v>2174.74</v>
      </c>
      <c r="J12" s="25">
        <f>H12+I12</f>
        <v>2174.74</v>
      </c>
      <c r="K12" s="26"/>
      <c r="L12" s="25">
        <f>SUM(L13:L13)</f>
        <v>0</v>
      </c>
      <c r="P12" s="12">
        <f>IF(Q12="PR",J12,SUM(O13:O13))</f>
        <v>0</v>
      </c>
      <c r="Q12" s="6" t="s">
        <v>298</v>
      </c>
      <c r="R12" s="12">
        <f>IF(Q12="HS",H12,0)</f>
        <v>0</v>
      </c>
      <c r="S12" s="12">
        <f>IF(Q12="HS",I12-P12,0)</f>
        <v>2174.74</v>
      </c>
      <c r="T12" s="12">
        <f>IF(Q12="PS",H12,0)</f>
        <v>0</v>
      </c>
      <c r="U12" s="12">
        <f>IF(Q12="PS",I12-P12,0)</f>
        <v>0</v>
      </c>
      <c r="V12" s="12">
        <f>IF(Q12="MP",H12,0)</f>
        <v>0</v>
      </c>
      <c r="W12" s="12">
        <f>IF(Q12="MP",I12-P12,0)</f>
        <v>0</v>
      </c>
      <c r="X12" s="12">
        <f>IF(Q12="OM",H12,0)</f>
        <v>0</v>
      </c>
      <c r="Y12" s="6"/>
      <c r="AI12" s="12">
        <f>SUM(Z13:Z13)</f>
        <v>0</v>
      </c>
      <c r="AJ12" s="12">
        <f>SUM(AA13:AA13)</f>
        <v>2174.74</v>
      </c>
      <c r="AK12" s="12">
        <f>SUM(AB13:AB13)</f>
        <v>0</v>
      </c>
    </row>
    <row r="13" spans="1:32" ht="12.75">
      <c r="A13" s="27" t="s">
        <v>6</v>
      </c>
      <c r="B13" s="27"/>
      <c r="C13" s="27" t="s">
        <v>87</v>
      </c>
      <c r="D13" s="27" t="s">
        <v>176</v>
      </c>
      <c r="E13" s="27" t="s">
        <v>274</v>
      </c>
      <c r="F13" s="28">
        <v>57.23</v>
      </c>
      <c r="G13" s="29">
        <v>38</v>
      </c>
      <c r="H13" s="28">
        <f>ROUND(F13*AE13,2)</f>
        <v>0</v>
      </c>
      <c r="I13" s="28">
        <f>J13-H13</f>
        <v>2174.74</v>
      </c>
      <c r="J13" s="28">
        <f>ROUND(F13*G13,2)</f>
        <v>2174.74</v>
      </c>
      <c r="K13" s="28">
        <v>0</v>
      </c>
      <c r="L13" s="28">
        <f>F13*K13</f>
        <v>0</v>
      </c>
      <c r="N13" s="9" t="s">
        <v>6</v>
      </c>
      <c r="O13" s="3">
        <f>IF(N13="5",I13,0)</f>
        <v>0</v>
      </c>
      <c r="Z13" s="3">
        <f>IF(AD13=0,J13,0)</f>
        <v>0</v>
      </c>
      <c r="AA13" s="3">
        <f>IF(AD13=14,J13,0)</f>
        <v>2174.74</v>
      </c>
      <c r="AB13" s="3">
        <f>IF(AD13=20,J13,0)</f>
        <v>0</v>
      </c>
      <c r="AD13" s="11">
        <v>14</v>
      </c>
      <c r="AE13" s="11">
        <f>G13*0</f>
        <v>0</v>
      </c>
      <c r="AF13" s="11">
        <f>G13*(1-0)</f>
        <v>38</v>
      </c>
    </row>
    <row r="14" spans="1:37" ht="12.75">
      <c r="A14" s="30"/>
      <c r="B14" s="30"/>
      <c r="C14" s="31" t="s">
        <v>16</v>
      </c>
      <c r="D14" s="140" t="s">
        <v>177</v>
      </c>
      <c r="E14" s="141"/>
      <c r="F14" s="141"/>
      <c r="G14" s="141"/>
      <c r="H14" s="32">
        <f>SUM(H15:H21)</f>
        <v>227.37</v>
      </c>
      <c r="I14" s="32">
        <f>SUM(I15:I21)</f>
        <v>9733.669999999998</v>
      </c>
      <c r="J14" s="32">
        <f>H14+I14</f>
        <v>9961.039999999999</v>
      </c>
      <c r="K14" s="33"/>
      <c r="L14" s="32">
        <f>SUM(L15:L21)</f>
        <v>8.254395</v>
      </c>
      <c r="P14" s="12">
        <f>IF(Q14="PR",J14,SUM(O15:O21))</f>
        <v>0</v>
      </c>
      <c r="Q14" s="6" t="s">
        <v>298</v>
      </c>
      <c r="R14" s="12">
        <f>IF(Q14="HS",H14,0)</f>
        <v>227.37</v>
      </c>
      <c r="S14" s="12">
        <f>IF(Q14="HS",I14-P14,0)</f>
        <v>9733.669999999998</v>
      </c>
      <c r="T14" s="12">
        <f>IF(Q14="PS",H14,0)</f>
        <v>0</v>
      </c>
      <c r="U14" s="12">
        <f>IF(Q14="PS",I14-P14,0)</f>
        <v>0</v>
      </c>
      <c r="V14" s="12">
        <f>IF(Q14="MP",H14,0)</f>
        <v>0</v>
      </c>
      <c r="W14" s="12">
        <f>IF(Q14="MP",I14-P14,0)</f>
        <v>0</v>
      </c>
      <c r="X14" s="12">
        <f>IF(Q14="OM",H14,0)</f>
        <v>0</v>
      </c>
      <c r="Y14" s="6"/>
      <c r="AI14" s="12">
        <f>SUM(Z15:Z21)</f>
        <v>0</v>
      </c>
      <c r="AJ14" s="12">
        <f>SUM(AA15:AA21)</f>
        <v>9961.039999999999</v>
      </c>
      <c r="AK14" s="12">
        <f>SUM(AB15:AB21)</f>
        <v>0</v>
      </c>
    </row>
    <row r="15" spans="1:32" ht="25.5">
      <c r="A15" s="27" t="s">
        <v>7</v>
      </c>
      <c r="B15" s="27"/>
      <c r="C15" s="27" t="s">
        <v>88</v>
      </c>
      <c r="D15" s="27" t="s">
        <v>178</v>
      </c>
      <c r="E15" s="27" t="s">
        <v>275</v>
      </c>
      <c r="F15" s="28">
        <v>11.1</v>
      </c>
      <c r="G15" s="29">
        <v>130.5</v>
      </c>
      <c r="H15" s="28">
        <f aca="true" t="shared" si="0" ref="H15:H21">ROUND(F15*AE15,2)</f>
        <v>0</v>
      </c>
      <c r="I15" s="28">
        <f aca="true" t="shared" si="1" ref="I15:I21">J15-H15</f>
        <v>1448.55</v>
      </c>
      <c r="J15" s="28">
        <f aca="true" t="shared" si="2" ref="J15:J21">ROUND(F15*G15,2)</f>
        <v>1448.55</v>
      </c>
      <c r="K15" s="28">
        <v>0.24</v>
      </c>
      <c r="L15" s="28">
        <f aca="true" t="shared" si="3" ref="L15:L21">F15*K15</f>
        <v>2.6639999999999997</v>
      </c>
      <c r="N15" s="9" t="s">
        <v>6</v>
      </c>
      <c r="O15" s="3">
        <f aca="true" t="shared" si="4" ref="O15:O21">IF(N15="5",I15,0)</f>
        <v>0</v>
      </c>
      <c r="Z15" s="3">
        <f aca="true" t="shared" si="5" ref="Z15:Z21">IF(AD15=0,J15,0)</f>
        <v>0</v>
      </c>
      <c r="AA15" s="3">
        <f aca="true" t="shared" si="6" ref="AA15:AA21">IF(AD15=14,J15,0)</f>
        <v>1448.55</v>
      </c>
      <c r="AB15" s="3">
        <f aca="true" t="shared" si="7" ref="AB15:AB21">IF(AD15=20,J15,0)</f>
        <v>0</v>
      </c>
      <c r="AD15" s="11">
        <v>14</v>
      </c>
      <c r="AE15" s="11">
        <f>G15*0</f>
        <v>0</v>
      </c>
      <c r="AF15" s="11">
        <f>G15*(1-0)</f>
        <v>130.5</v>
      </c>
    </row>
    <row r="16" spans="1:32" ht="25.5">
      <c r="A16" s="27" t="s">
        <v>8</v>
      </c>
      <c r="B16" s="27"/>
      <c r="C16" s="27" t="s">
        <v>89</v>
      </c>
      <c r="D16" s="27" t="s">
        <v>179</v>
      </c>
      <c r="E16" s="27" t="s">
        <v>275</v>
      </c>
      <c r="F16" s="28">
        <v>11.1</v>
      </c>
      <c r="G16" s="29">
        <v>269.93</v>
      </c>
      <c r="H16" s="28">
        <f t="shared" si="0"/>
        <v>0</v>
      </c>
      <c r="I16" s="28">
        <f t="shared" si="1"/>
        <v>2996.22</v>
      </c>
      <c r="J16" s="28">
        <f t="shared" si="2"/>
        <v>2996.22</v>
      </c>
      <c r="K16" s="28">
        <v>0.4</v>
      </c>
      <c r="L16" s="28">
        <f t="shared" si="3"/>
        <v>4.44</v>
      </c>
      <c r="N16" s="9" t="s">
        <v>6</v>
      </c>
      <c r="O16" s="3">
        <f t="shared" si="4"/>
        <v>0</v>
      </c>
      <c r="Z16" s="3">
        <f t="shared" si="5"/>
        <v>0</v>
      </c>
      <c r="AA16" s="3">
        <f t="shared" si="6"/>
        <v>2996.22</v>
      </c>
      <c r="AB16" s="3">
        <f t="shared" si="7"/>
        <v>0</v>
      </c>
      <c r="AD16" s="11">
        <v>14</v>
      </c>
      <c r="AE16" s="11">
        <f>G16*0</f>
        <v>0</v>
      </c>
      <c r="AF16" s="11">
        <f>G16*(1-0)</f>
        <v>269.93</v>
      </c>
    </row>
    <row r="17" spans="1:32" ht="25.5">
      <c r="A17" s="27" t="s">
        <v>9</v>
      </c>
      <c r="B17" s="27"/>
      <c r="C17" s="27" t="s">
        <v>90</v>
      </c>
      <c r="D17" s="27" t="s">
        <v>180</v>
      </c>
      <c r="E17" s="27" t="s">
        <v>275</v>
      </c>
      <c r="F17" s="28">
        <v>11.1</v>
      </c>
      <c r="G17" s="29">
        <v>51.17</v>
      </c>
      <c r="H17" s="28">
        <f t="shared" si="0"/>
        <v>0</v>
      </c>
      <c r="I17" s="28">
        <f t="shared" si="1"/>
        <v>567.99</v>
      </c>
      <c r="J17" s="28">
        <f t="shared" si="2"/>
        <v>567.99</v>
      </c>
      <c r="K17" s="28">
        <v>0.098</v>
      </c>
      <c r="L17" s="28">
        <f t="shared" si="3"/>
        <v>1.0878</v>
      </c>
      <c r="N17" s="9" t="s">
        <v>6</v>
      </c>
      <c r="O17" s="3">
        <f t="shared" si="4"/>
        <v>0</v>
      </c>
      <c r="Z17" s="3">
        <f t="shared" si="5"/>
        <v>0</v>
      </c>
      <c r="AA17" s="3">
        <f t="shared" si="6"/>
        <v>567.99</v>
      </c>
      <c r="AB17" s="3">
        <f t="shared" si="7"/>
        <v>0</v>
      </c>
      <c r="AD17" s="11">
        <v>14</v>
      </c>
      <c r="AE17" s="11">
        <f>G17*0</f>
        <v>0</v>
      </c>
      <c r="AF17" s="11">
        <f>G17*(1-0)</f>
        <v>51.17</v>
      </c>
    </row>
    <row r="18" spans="1:32" ht="25.5">
      <c r="A18" s="27" t="s">
        <v>10</v>
      </c>
      <c r="B18" s="27"/>
      <c r="C18" s="27" t="s">
        <v>91</v>
      </c>
      <c r="D18" s="27" t="s">
        <v>181</v>
      </c>
      <c r="E18" s="27" t="s">
        <v>276</v>
      </c>
      <c r="F18" s="28">
        <v>80</v>
      </c>
      <c r="G18" s="29">
        <v>48.25</v>
      </c>
      <c r="H18" s="28">
        <f t="shared" si="0"/>
        <v>0</v>
      </c>
      <c r="I18" s="28">
        <f t="shared" si="1"/>
        <v>3860</v>
      </c>
      <c r="J18" s="28">
        <f t="shared" si="2"/>
        <v>3860</v>
      </c>
      <c r="K18" s="28">
        <v>0</v>
      </c>
      <c r="L18" s="28">
        <f t="shared" si="3"/>
        <v>0</v>
      </c>
      <c r="N18" s="9" t="s">
        <v>6</v>
      </c>
      <c r="O18" s="3">
        <f t="shared" si="4"/>
        <v>0</v>
      </c>
      <c r="Z18" s="3">
        <f t="shared" si="5"/>
        <v>0</v>
      </c>
      <c r="AA18" s="3">
        <f t="shared" si="6"/>
        <v>3860</v>
      </c>
      <c r="AB18" s="3">
        <f t="shared" si="7"/>
        <v>0</v>
      </c>
      <c r="AD18" s="11">
        <v>14</v>
      </c>
      <c r="AE18" s="11">
        <f>G18*0</f>
        <v>0</v>
      </c>
      <c r="AF18" s="11">
        <f>G18*(1-0)</f>
        <v>48.25</v>
      </c>
    </row>
    <row r="19" spans="1:32" ht="25.5">
      <c r="A19" s="27" t="s">
        <v>11</v>
      </c>
      <c r="B19" s="27"/>
      <c r="C19" s="27" t="s">
        <v>92</v>
      </c>
      <c r="D19" s="27" t="s">
        <v>182</v>
      </c>
      <c r="E19" s="27" t="s">
        <v>277</v>
      </c>
      <c r="F19" s="28">
        <v>10</v>
      </c>
      <c r="G19" s="29">
        <v>48</v>
      </c>
      <c r="H19" s="28">
        <f t="shared" si="0"/>
        <v>0</v>
      </c>
      <c r="I19" s="28">
        <f t="shared" si="1"/>
        <v>480</v>
      </c>
      <c r="J19" s="28">
        <f t="shared" si="2"/>
        <v>480</v>
      </c>
      <c r="K19" s="28">
        <v>0</v>
      </c>
      <c r="L19" s="28">
        <f t="shared" si="3"/>
        <v>0</v>
      </c>
      <c r="N19" s="9" t="s">
        <v>6</v>
      </c>
      <c r="O19" s="3">
        <f t="shared" si="4"/>
        <v>0</v>
      </c>
      <c r="Z19" s="3">
        <f t="shared" si="5"/>
        <v>0</v>
      </c>
      <c r="AA19" s="3">
        <f t="shared" si="6"/>
        <v>480</v>
      </c>
      <c r="AB19" s="3">
        <f t="shared" si="7"/>
        <v>0</v>
      </c>
      <c r="AD19" s="11">
        <v>14</v>
      </c>
      <c r="AE19" s="11">
        <f>G19*0</f>
        <v>0</v>
      </c>
      <c r="AF19" s="11">
        <f>G19*(1-0)</f>
        <v>48</v>
      </c>
    </row>
    <row r="20" spans="1:32" ht="25.5">
      <c r="A20" s="27" t="s">
        <v>12</v>
      </c>
      <c r="B20" s="27"/>
      <c r="C20" s="27" t="s">
        <v>93</v>
      </c>
      <c r="D20" s="27" t="s">
        <v>183</v>
      </c>
      <c r="E20" s="27" t="s">
        <v>274</v>
      </c>
      <c r="F20" s="28">
        <v>1.5</v>
      </c>
      <c r="G20" s="29">
        <v>201.44</v>
      </c>
      <c r="H20" s="28">
        <f t="shared" si="0"/>
        <v>111.16</v>
      </c>
      <c r="I20" s="28">
        <f t="shared" si="1"/>
        <v>191.00000000000003</v>
      </c>
      <c r="J20" s="28">
        <f t="shared" si="2"/>
        <v>302.16</v>
      </c>
      <c r="K20" s="28">
        <v>0.00869</v>
      </c>
      <c r="L20" s="28">
        <f t="shared" si="3"/>
        <v>0.013035</v>
      </c>
      <c r="N20" s="9" t="s">
        <v>6</v>
      </c>
      <c r="O20" s="3">
        <f t="shared" si="4"/>
        <v>0</v>
      </c>
      <c r="Z20" s="3">
        <f t="shared" si="5"/>
        <v>0</v>
      </c>
      <c r="AA20" s="3">
        <f t="shared" si="6"/>
        <v>302.16</v>
      </c>
      <c r="AB20" s="3">
        <f t="shared" si="7"/>
        <v>0</v>
      </c>
      <c r="AD20" s="11">
        <v>14</v>
      </c>
      <c r="AE20" s="11">
        <f>G20*0.367868500708839</f>
        <v>74.10343078278852</v>
      </c>
      <c r="AF20" s="11">
        <f>G20*(1-0.367868500708839)</f>
        <v>127.33656921721149</v>
      </c>
    </row>
    <row r="21" spans="1:32" ht="25.5">
      <c r="A21" s="27" t="s">
        <v>13</v>
      </c>
      <c r="B21" s="27"/>
      <c r="C21" s="27" t="s">
        <v>94</v>
      </c>
      <c r="D21" s="27" t="s">
        <v>184</v>
      </c>
      <c r="E21" s="27" t="s">
        <v>274</v>
      </c>
      <c r="F21" s="28">
        <v>2</v>
      </c>
      <c r="G21" s="29">
        <v>153.06</v>
      </c>
      <c r="H21" s="28">
        <f t="shared" si="0"/>
        <v>116.21</v>
      </c>
      <c r="I21" s="28">
        <f t="shared" si="1"/>
        <v>189.91000000000003</v>
      </c>
      <c r="J21" s="28">
        <f t="shared" si="2"/>
        <v>306.12</v>
      </c>
      <c r="K21" s="28">
        <v>0.02478</v>
      </c>
      <c r="L21" s="28">
        <f t="shared" si="3"/>
        <v>0.04956</v>
      </c>
      <c r="N21" s="9" t="s">
        <v>6</v>
      </c>
      <c r="O21" s="3">
        <f t="shared" si="4"/>
        <v>0</v>
      </c>
      <c r="Z21" s="3">
        <f t="shared" si="5"/>
        <v>0</v>
      </c>
      <c r="AA21" s="3">
        <f t="shared" si="6"/>
        <v>306.12</v>
      </c>
      <c r="AB21" s="3">
        <f t="shared" si="7"/>
        <v>0</v>
      </c>
      <c r="AD21" s="11">
        <v>14</v>
      </c>
      <c r="AE21" s="11">
        <f>G21*0.379629179035476</f>
        <v>58.10604214316996</v>
      </c>
      <c r="AF21" s="11">
        <f>G21*(1-0.379629179035476)</f>
        <v>94.95395785683004</v>
      </c>
    </row>
    <row r="22" spans="1:37" ht="12.75">
      <c r="A22" s="30"/>
      <c r="B22" s="30"/>
      <c r="C22" s="31" t="s">
        <v>18</v>
      </c>
      <c r="D22" s="140" t="s">
        <v>185</v>
      </c>
      <c r="E22" s="141"/>
      <c r="F22" s="141"/>
      <c r="G22" s="141"/>
      <c r="H22" s="32">
        <f>SUM(H23:H28)</f>
        <v>0</v>
      </c>
      <c r="I22" s="32">
        <f>SUM(I23:I28)</f>
        <v>49112.11000000001</v>
      </c>
      <c r="J22" s="32">
        <f>H22+I22</f>
        <v>49112.11000000001</v>
      </c>
      <c r="K22" s="33"/>
      <c r="L22" s="32">
        <f>SUM(L23:L28)</f>
        <v>0</v>
      </c>
      <c r="P22" s="12">
        <f>IF(Q22="PR",J22,SUM(O23:O28))</f>
        <v>0</v>
      </c>
      <c r="Q22" s="6" t="s">
        <v>298</v>
      </c>
      <c r="R22" s="12">
        <f>IF(Q22="HS",H22,0)</f>
        <v>0</v>
      </c>
      <c r="S22" s="12">
        <f>IF(Q22="HS",I22-P22,0)</f>
        <v>49112.11000000001</v>
      </c>
      <c r="T22" s="12">
        <f>IF(Q22="PS",H22,0)</f>
        <v>0</v>
      </c>
      <c r="U22" s="12">
        <f>IF(Q22="PS",I22-P22,0)</f>
        <v>0</v>
      </c>
      <c r="V22" s="12">
        <f>IF(Q22="MP",H22,0)</f>
        <v>0</v>
      </c>
      <c r="W22" s="12">
        <f>IF(Q22="MP",I22-P22,0)</f>
        <v>0</v>
      </c>
      <c r="X22" s="12">
        <f>IF(Q22="OM",H22,0)</f>
        <v>0</v>
      </c>
      <c r="Y22" s="6"/>
      <c r="AI22" s="12">
        <f>SUM(Z23:Z28)</f>
        <v>0</v>
      </c>
      <c r="AJ22" s="12">
        <f>SUM(AA23:AA28)</f>
        <v>49112.11000000001</v>
      </c>
      <c r="AK22" s="12">
        <f>SUM(AB23:AB28)</f>
        <v>0</v>
      </c>
    </row>
    <row r="23" spans="1:32" ht="25.5">
      <c r="A23" s="27" t="s">
        <v>14</v>
      </c>
      <c r="B23" s="27"/>
      <c r="C23" s="27" t="s">
        <v>95</v>
      </c>
      <c r="D23" s="27" t="s">
        <v>186</v>
      </c>
      <c r="E23" s="27" t="s">
        <v>278</v>
      </c>
      <c r="F23" s="28">
        <v>7.77</v>
      </c>
      <c r="G23" s="29">
        <v>250.29</v>
      </c>
      <c r="H23" s="28">
        <f aca="true" t="shared" si="8" ref="H23:H28">ROUND(F23*AE23,2)</f>
        <v>0</v>
      </c>
      <c r="I23" s="28">
        <f aca="true" t="shared" si="9" ref="I23:I28">J23-H23</f>
        <v>1944.75</v>
      </c>
      <c r="J23" s="28">
        <f aca="true" t="shared" si="10" ref="J23:J28">ROUND(F23*G23,2)</f>
        <v>1944.75</v>
      </c>
      <c r="K23" s="28">
        <v>0</v>
      </c>
      <c r="L23" s="28">
        <f aca="true" t="shared" si="11" ref="L23:L28">F23*K23</f>
        <v>0</v>
      </c>
      <c r="N23" s="9" t="s">
        <v>6</v>
      </c>
      <c r="O23" s="3">
        <f aca="true" t="shared" si="12" ref="O23:O28">IF(N23="5",I23,0)</f>
        <v>0</v>
      </c>
      <c r="Z23" s="3">
        <f aca="true" t="shared" si="13" ref="Z23:Z28">IF(AD23=0,J23,0)</f>
        <v>0</v>
      </c>
      <c r="AA23" s="3">
        <f aca="true" t="shared" si="14" ref="AA23:AA28">IF(AD23=14,J23,0)</f>
        <v>1944.75</v>
      </c>
      <c r="AB23" s="3">
        <f aca="true" t="shared" si="15" ref="AB23:AB28">IF(AD23=20,J23,0)</f>
        <v>0</v>
      </c>
      <c r="AD23" s="11">
        <v>14</v>
      </c>
      <c r="AE23" s="11">
        <f aca="true" t="shared" si="16" ref="AE23:AE28">G23*0</f>
        <v>0</v>
      </c>
      <c r="AF23" s="11">
        <f aca="true" t="shared" si="17" ref="AF23:AF28">G23*(1-0)</f>
        <v>250.29</v>
      </c>
    </row>
    <row r="24" spans="1:32" ht="25.5">
      <c r="A24" s="27" t="s">
        <v>15</v>
      </c>
      <c r="B24" s="27"/>
      <c r="C24" s="27" t="s">
        <v>96</v>
      </c>
      <c r="D24" s="27" t="s">
        <v>187</v>
      </c>
      <c r="E24" s="27" t="s">
        <v>278</v>
      </c>
      <c r="F24" s="28">
        <v>0.04</v>
      </c>
      <c r="G24" s="29">
        <v>1853.55</v>
      </c>
      <c r="H24" s="28">
        <f t="shared" si="8"/>
        <v>0</v>
      </c>
      <c r="I24" s="28">
        <f t="shared" si="9"/>
        <v>74.14</v>
      </c>
      <c r="J24" s="28">
        <f t="shared" si="10"/>
        <v>74.14</v>
      </c>
      <c r="K24" s="28">
        <v>0</v>
      </c>
      <c r="L24" s="28">
        <f t="shared" si="11"/>
        <v>0</v>
      </c>
      <c r="N24" s="9" t="s">
        <v>6</v>
      </c>
      <c r="O24" s="3">
        <f t="shared" si="12"/>
        <v>0</v>
      </c>
      <c r="Z24" s="3">
        <f t="shared" si="13"/>
        <v>0</v>
      </c>
      <c r="AA24" s="3">
        <f t="shared" si="14"/>
        <v>74.14</v>
      </c>
      <c r="AB24" s="3">
        <f t="shared" si="15"/>
        <v>0</v>
      </c>
      <c r="AD24" s="11">
        <v>14</v>
      </c>
      <c r="AE24" s="11">
        <f t="shared" si="16"/>
        <v>0</v>
      </c>
      <c r="AF24" s="11">
        <f t="shared" si="17"/>
        <v>1853.55</v>
      </c>
    </row>
    <row r="25" spans="1:32" ht="25.5">
      <c r="A25" s="27" t="s">
        <v>16</v>
      </c>
      <c r="B25" s="27"/>
      <c r="C25" s="27" t="s">
        <v>97</v>
      </c>
      <c r="D25" s="27" t="s">
        <v>188</v>
      </c>
      <c r="E25" s="27" t="s">
        <v>278</v>
      </c>
      <c r="F25" s="28">
        <v>156.55</v>
      </c>
      <c r="G25" s="29">
        <v>76</v>
      </c>
      <c r="H25" s="28">
        <f t="shared" si="8"/>
        <v>0</v>
      </c>
      <c r="I25" s="28">
        <f t="shared" si="9"/>
        <v>11897.8</v>
      </c>
      <c r="J25" s="28">
        <f t="shared" si="10"/>
        <v>11897.8</v>
      </c>
      <c r="K25" s="28">
        <v>0</v>
      </c>
      <c r="L25" s="28">
        <f t="shared" si="11"/>
        <v>0</v>
      </c>
      <c r="N25" s="9" t="s">
        <v>6</v>
      </c>
      <c r="O25" s="3">
        <f t="shared" si="12"/>
        <v>0</v>
      </c>
      <c r="Z25" s="3">
        <f t="shared" si="13"/>
        <v>0</v>
      </c>
      <c r="AA25" s="3">
        <f t="shared" si="14"/>
        <v>11897.8</v>
      </c>
      <c r="AB25" s="3">
        <f t="shared" si="15"/>
        <v>0</v>
      </c>
      <c r="AD25" s="11">
        <v>14</v>
      </c>
      <c r="AE25" s="11">
        <f t="shared" si="16"/>
        <v>0</v>
      </c>
      <c r="AF25" s="11">
        <f t="shared" si="17"/>
        <v>76</v>
      </c>
    </row>
    <row r="26" spans="1:32" ht="25.5">
      <c r="A26" s="27" t="s">
        <v>17</v>
      </c>
      <c r="B26" s="27"/>
      <c r="C26" s="27" t="s">
        <v>98</v>
      </c>
      <c r="D26" s="27" t="s">
        <v>189</v>
      </c>
      <c r="E26" s="27" t="s">
        <v>278</v>
      </c>
      <c r="F26" s="28">
        <v>104.36</v>
      </c>
      <c r="G26" s="29">
        <v>135</v>
      </c>
      <c r="H26" s="28">
        <f t="shared" si="8"/>
        <v>0</v>
      </c>
      <c r="I26" s="28">
        <f t="shared" si="9"/>
        <v>14088.6</v>
      </c>
      <c r="J26" s="28">
        <f t="shared" si="10"/>
        <v>14088.6</v>
      </c>
      <c r="K26" s="28">
        <v>0</v>
      </c>
      <c r="L26" s="28">
        <f t="shared" si="11"/>
        <v>0</v>
      </c>
      <c r="N26" s="9" t="s">
        <v>6</v>
      </c>
      <c r="O26" s="3">
        <f t="shared" si="12"/>
        <v>0</v>
      </c>
      <c r="Z26" s="3">
        <f t="shared" si="13"/>
        <v>0</v>
      </c>
      <c r="AA26" s="3">
        <f t="shared" si="14"/>
        <v>14088.6</v>
      </c>
      <c r="AB26" s="3">
        <f t="shared" si="15"/>
        <v>0</v>
      </c>
      <c r="AD26" s="11">
        <v>14</v>
      </c>
      <c r="AE26" s="11">
        <f t="shared" si="16"/>
        <v>0</v>
      </c>
      <c r="AF26" s="11">
        <f t="shared" si="17"/>
        <v>135</v>
      </c>
    </row>
    <row r="27" spans="1:32" ht="25.5">
      <c r="A27" s="27" t="s">
        <v>18</v>
      </c>
      <c r="B27" s="27"/>
      <c r="C27" s="27" t="s">
        <v>99</v>
      </c>
      <c r="D27" s="27" t="s">
        <v>190</v>
      </c>
      <c r="E27" s="27" t="s">
        <v>278</v>
      </c>
      <c r="F27" s="28">
        <v>89.37</v>
      </c>
      <c r="G27" s="29">
        <v>123.5</v>
      </c>
      <c r="H27" s="28">
        <f t="shared" si="8"/>
        <v>0</v>
      </c>
      <c r="I27" s="28">
        <f t="shared" si="9"/>
        <v>11037.2</v>
      </c>
      <c r="J27" s="28">
        <f t="shared" si="10"/>
        <v>11037.2</v>
      </c>
      <c r="K27" s="28">
        <v>0</v>
      </c>
      <c r="L27" s="28">
        <f t="shared" si="11"/>
        <v>0</v>
      </c>
      <c r="N27" s="9" t="s">
        <v>6</v>
      </c>
      <c r="O27" s="3">
        <f t="shared" si="12"/>
        <v>0</v>
      </c>
      <c r="Z27" s="3">
        <f t="shared" si="13"/>
        <v>0</v>
      </c>
      <c r="AA27" s="3">
        <f t="shared" si="14"/>
        <v>11037.2</v>
      </c>
      <c r="AB27" s="3">
        <f t="shared" si="15"/>
        <v>0</v>
      </c>
      <c r="AD27" s="11">
        <v>14</v>
      </c>
      <c r="AE27" s="11">
        <f t="shared" si="16"/>
        <v>0</v>
      </c>
      <c r="AF27" s="11">
        <f t="shared" si="17"/>
        <v>123.5</v>
      </c>
    </row>
    <row r="28" spans="1:32" ht="25.5">
      <c r="A28" s="27" t="s">
        <v>19</v>
      </c>
      <c r="B28" s="27"/>
      <c r="C28" s="27" t="s">
        <v>100</v>
      </c>
      <c r="D28" s="27" t="s">
        <v>191</v>
      </c>
      <c r="E28" s="27" t="s">
        <v>278</v>
      </c>
      <c r="F28" s="28">
        <v>59.58</v>
      </c>
      <c r="G28" s="29">
        <v>169.01</v>
      </c>
      <c r="H28" s="28">
        <f t="shared" si="8"/>
        <v>0</v>
      </c>
      <c r="I28" s="28">
        <f t="shared" si="9"/>
        <v>10069.62</v>
      </c>
      <c r="J28" s="28">
        <f t="shared" si="10"/>
        <v>10069.62</v>
      </c>
      <c r="K28" s="28">
        <v>0</v>
      </c>
      <c r="L28" s="28">
        <f t="shared" si="11"/>
        <v>0</v>
      </c>
      <c r="N28" s="9" t="s">
        <v>6</v>
      </c>
      <c r="O28" s="3">
        <f t="shared" si="12"/>
        <v>0</v>
      </c>
      <c r="Z28" s="3">
        <f t="shared" si="13"/>
        <v>0</v>
      </c>
      <c r="AA28" s="3">
        <f t="shared" si="14"/>
        <v>10069.62</v>
      </c>
      <c r="AB28" s="3">
        <f t="shared" si="15"/>
        <v>0</v>
      </c>
      <c r="AD28" s="11">
        <v>14</v>
      </c>
      <c r="AE28" s="11">
        <f t="shared" si="16"/>
        <v>0</v>
      </c>
      <c r="AF28" s="11">
        <f t="shared" si="17"/>
        <v>169.01</v>
      </c>
    </row>
    <row r="29" spans="1:37" ht="12.75">
      <c r="A29" s="30"/>
      <c r="B29" s="30"/>
      <c r="C29" s="31" t="s">
        <v>20</v>
      </c>
      <c r="D29" s="140" t="s">
        <v>192</v>
      </c>
      <c r="E29" s="141"/>
      <c r="F29" s="141"/>
      <c r="G29" s="141"/>
      <c r="H29" s="32">
        <f>SUM(H30:H33)</f>
        <v>1885.56</v>
      </c>
      <c r="I29" s="32">
        <f>SUM(I30:I33)</f>
        <v>23638.300000000003</v>
      </c>
      <c r="J29" s="32">
        <f>H29+I29</f>
        <v>25523.860000000004</v>
      </c>
      <c r="K29" s="33"/>
      <c r="L29" s="32">
        <f>SUM(L30:L33)</f>
        <v>0.1930731</v>
      </c>
      <c r="P29" s="12">
        <f>IF(Q29="PR",J29,SUM(O30:O33))</f>
        <v>0</v>
      </c>
      <c r="Q29" s="6" t="s">
        <v>298</v>
      </c>
      <c r="R29" s="12">
        <f>IF(Q29="HS",H29,0)</f>
        <v>1885.56</v>
      </c>
      <c r="S29" s="12">
        <f>IF(Q29="HS",I29-P29,0)</f>
        <v>23638.300000000003</v>
      </c>
      <c r="T29" s="12">
        <f>IF(Q29="PS",H29,0)</f>
        <v>0</v>
      </c>
      <c r="U29" s="12">
        <f>IF(Q29="PS",I29-P29,0)</f>
        <v>0</v>
      </c>
      <c r="V29" s="12">
        <f>IF(Q29="MP",H29,0)</f>
        <v>0</v>
      </c>
      <c r="W29" s="12">
        <f>IF(Q29="MP",I29-P29,0)</f>
        <v>0</v>
      </c>
      <c r="X29" s="12">
        <f>IF(Q29="OM",H29,0)</f>
        <v>0</v>
      </c>
      <c r="Y29" s="6"/>
      <c r="AI29" s="12">
        <f>SUM(Z30:Z33)</f>
        <v>0</v>
      </c>
      <c r="AJ29" s="12">
        <f>SUM(AA30:AA33)</f>
        <v>25523.86</v>
      </c>
      <c r="AK29" s="12">
        <f>SUM(AB30:AB33)</f>
        <v>0</v>
      </c>
    </row>
    <row r="30" spans="1:32" ht="25.5">
      <c r="A30" s="27" t="s">
        <v>20</v>
      </c>
      <c r="B30" s="27"/>
      <c r="C30" s="27" t="s">
        <v>101</v>
      </c>
      <c r="D30" s="27" t="s">
        <v>193</v>
      </c>
      <c r="E30" s="27" t="s">
        <v>275</v>
      </c>
      <c r="F30" s="28">
        <v>69.75</v>
      </c>
      <c r="G30" s="29">
        <v>62.6</v>
      </c>
      <c r="H30" s="28">
        <f>ROUND(F30*AE30,2)</f>
        <v>489.97</v>
      </c>
      <c r="I30" s="28">
        <f>J30-H30</f>
        <v>3876.38</v>
      </c>
      <c r="J30" s="28">
        <f>ROUND(F30*G30,2)</f>
        <v>4366.35</v>
      </c>
      <c r="K30" s="28">
        <v>0.00099</v>
      </c>
      <c r="L30" s="28">
        <f>F30*K30</f>
        <v>0.0690525</v>
      </c>
      <c r="N30" s="9" t="s">
        <v>6</v>
      </c>
      <c r="O30" s="3">
        <f>IF(N30="5",I30,0)</f>
        <v>0</v>
      </c>
      <c r="Z30" s="3">
        <f>IF(AD30=0,J30,0)</f>
        <v>0</v>
      </c>
      <c r="AA30" s="3">
        <f>IF(AD30=14,J30,0)</f>
        <v>4366.35</v>
      </c>
      <c r="AB30" s="3">
        <f>IF(AD30=20,J30,0)</f>
        <v>0</v>
      </c>
      <c r="AD30" s="11">
        <v>14</v>
      </c>
      <c r="AE30" s="11">
        <f>G30*0.112214611872146</f>
        <v>7.02463470319634</v>
      </c>
      <c r="AF30" s="11">
        <f>G30*(1-0.112214611872146)</f>
        <v>55.57536529680366</v>
      </c>
    </row>
    <row r="31" spans="1:32" ht="25.5">
      <c r="A31" s="27" t="s">
        <v>21</v>
      </c>
      <c r="B31" s="27"/>
      <c r="C31" s="27" t="s">
        <v>102</v>
      </c>
      <c r="D31" s="27" t="s">
        <v>194</v>
      </c>
      <c r="E31" s="27" t="s">
        <v>275</v>
      </c>
      <c r="F31" s="28">
        <v>144.21</v>
      </c>
      <c r="G31" s="29">
        <v>115.63</v>
      </c>
      <c r="H31" s="28">
        <f>ROUND(F31*AE31,2)</f>
        <v>1395.59</v>
      </c>
      <c r="I31" s="28">
        <f>J31-H31</f>
        <v>15279.41</v>
      </c>
      <c r="J31" s="28">
        <f>ROUND(F31*G31,2)</f>
        <v>16675</v>
      </c>
      <c r="K31" s="28">
        <v>0.00086</v>
      </c>
      <c r="L31" s="28">
        <f>F31*K31</f>
        <v>0.12402060000000001</v>
      </c>
      <c r="N31" s="9" t="s">
        <v>6</v>
      </c>
      <c r="O31" s="3">
        <f>IF(N31="5",I31,0)</f>
        <v>0</v>
      </c>
      <c r="Z31" s="3">
        <f>IF(AD31=0,J31,0)</f>
        <v>0</v>
      </c>
      <c r="AA31" s="3">
        <f>IF(AD31=14,J31,0)</f>
        <v>16675</v>
      </c>
      <c r="AB31" s="3">
        <f>IF(AD31=20,J31,0)</f>
        <v>0</v>
      </c>
      <c r="AD31" s="11">
        <v>14</v>
      </c>
      <c r="AE31" s="11">
        <f>G31*0.0836938123001693</f>
        <v>9.677515516268576</v>
      </c>
      <c r="AF31" s="11">
        <f>G31*(1-0.0836938123001693)</f>
        <v>105.95248448373142</v>
      </c>
    </row>
    <row r="32" spans="1:32" ht="25.5">
      <c r="A32" s="27" t="s">
        <v>22</v>
      </c>
      <c r="B32" s="27"/>
      <c r="C32" s="27" t="s">
        <v>103</v>
      </c>
      <c r="D32" s="27" t="s">
        <v>195</v>
      </c>
      <c r="E32" s="27" t="s">
        <v>275</v>
      </c>
      <c r="F32" s="28">
        <v>69.75</v>
      </c>
      <c r="G32" s="29">
        <v>14.5</v>
      </c>
      <c r="H32" s="28">
        <f>ROUND(F32*AE32,2)</f>
        <v>0</v>
      </c>
      <c r="I32" s="28">
        <f>J32-H32</f>
        <v>1011.38</v>
      </c>
      <c r="J32" s="28">
        <f>ROUND(F32*G32,2)</f>
        <v>1011.38</v>
      </c>
      <c r="K32" s="28">
        <v>0</v>
      </c>
      <c r="L32" s="28">
        <f>F32*K32</f>
        <v>0</v>
      </c>
      <c r="N32" s="9" t="s">
        <v>6</v>
      </c>
      <c r="O32" s="3">
        <f>IF(N32="5",I32,0)</f>
        <v>0</v>
      </c>
      <c r="Z32" s="3">
        <f>IF(AD32=0,J32,0)</f>
        <v>0</v>
      </c>
      <c r="AA32" s="3">
        <f>IF(AD32=14,J32,0)</f>
        <v>1011.38</v>
      </c>
      <c r="AB32" s="3">
        <f>IF(AD32=20,J32,0)</f>
        <v>0</v>
      </c>
      <c r="AD32" s="11">
        <v>14</v>
      </c>
      <c r="AE32" s="11">
        <f>G32*0</f>
        <v>0</v>
      </c>
      <c r="AF32" s="11">
        <f>G32*(1-0)</f>
        <v>14.5</v>
      </c>
    </row>
    <row r="33" spans="1:32" ht="25.5">
      <c r="A33" s="27" t="s">
        <v>23</v>
      </c>
      <c r="B33" s="27"/>
      <c r="C33" s="27" t="s">
        <v>104</v>
      </c>
      <c r="D33" s="27" t="s">
        <v>196</v>
      </c>
      <c r="E33" s="27" t="s">
        <v>275</v>
      </c>
      <c r="F33" s="28">
        <v>144.21</v>
      </c>
      <c r="G33" s="29">
        <v>24.07</v>
      </c>
      <c r="H33" s="28">
        <f>ROUND(F33*AE33,2)</f>
        <v>0</v>
      </c>
      <c r="I33" s="28">
        <f>J33-H33</f>
        <v>3471.13</v>
      </c>
      <c r="J33" s="28">
        <f>ROUND(F33*G33,2)</f>
        <v>3471.13</v>
      </c>
      <c r="K33" s="28">
        <v>0</v>
      </c>
      <c r="L33" s="28">
        <f>F33*K33</f>
        <v>0</v>
      </c>
      <c r="N33" s="9" t="s">
        <v>6</v>
      </c>
      <c r="O33" s="3">
        <f>IF(N33="5",I33,0)</f>
        <v>0</v>
      </c>
      <c r="Z33" s="3">
        <f>IF(AD33=0,J33,0)</f>
        <v>0</v>
      </c>
      <c r="AA33" s="3">
        <f>IF(AD33=14,J33,0)</f>
        <v>3471.13</v>
      </c>
      <c r="AB33" s="3">
        <f>IF(AD33=20,J33,0)</f>
        <v>0</v>
      </c>
      <c r="AD33" s="11">
        <v>14</v>
      </c>
      <c r="AE33" s="11">
        <f>G33*0</f>
        <v>0</v>
      </c>
      <c r="AF33" s="11">
        <f>G33*(1-0)</f>
        <v>24.07</v>
      </c>
    </row>
    <row r="34" spans="1:37" ht="12.75">
      <c r="A34" s="30"/>
      <c r="B34" s="30"/>
      <c r="C34" s="31" t="s">
        <v>21</v>
      </c>
      <c r="D34" s="140" t="s">
        <v>197</v>
      </c>
      <c r="E34" s="140"/>
      <c r="F34" s="140"/>
      <c r="G34" s="140"/>
      <c r="H34" s="32">
        <f>SUM(H35:H40)</f>
        <v>17803.5</v>
      </c>
      <c r="I34" s="32">
        <f>SUM(I35:I40)</f>
        <v>54212.28999999999</v>
      </c>
      <c r="J34" s="32">
        <f>H34+I34</f>
        <v>72015.79</v>
      </c>
      <c r="K34" s="33"/>
      <c r="L34" s="32">
        <f>SUM(L35:L40)</f>
        <v>0</v>
      </c>
      <c r="P34" s="12">
        <f>IF(Q34="PR",J34,SUM(O35:O40))</f>
        <v>0</v>
      </c>
      <c r="Q34" s="6" t="s">
        <v>298</v>
      </c>
      <c r="R34" s="12">
        <f>IF(Q34="HS",H34,0)</f>
        <v>17803.5</v>
      </c>
      <c r="S34" s="12">
        <f>IF(Q34="HS",I34-P34,0)</f>
        <v>54212.28999999999</v>
      </c>
      <c r="T34" s="12">
        <f>IF(Q34="PS",H34,0)</f>
        <v>0</v>
      </c>
      <c r="U34" s="12">
        <f>IF(Q34="PS",I34-P34,0)</f>
        <v>0</v>
      </c>
      <c r="V34" s="12">
        <f>IF(Q34="MP",H34,0)</f>
        <v>0</v>
      </c>
      <c r="W34" s="12">
        <f>IF(Q34="MP",I34-P34,0)</f>
        <v>0</v>
      </c>
      <c r="X34" s="12">
        <f>IF(Q34="OM",H34,0)</f>
        <v>0</v>
      </c>
      <c r="Y34" s="6"/>
      <c r="AI34" s="12">
        <f>SUM(Z35:Z40)</f>
        <v>0</v>
      </c>
      <c r="AJ34" s="12">
        <f>SUM(AA35:AA40)</f>
        <v>72015.79</v>
      </c>
      <c r="AK34" s="12">
        <f>SUM(AB35:AB40)</f>
        <v>0</v>
      </c>
    </row>
    <row r="35" spans="1:32" ht="25.5">
      <c r="A35" s="27" t="s">
        <v>24</v>
      </c>
      <c r="B35" s="27"/>
      <c r="C35" s="27" t="s">
        <v>105</v>
      </c>
      <c r="D35" s="27" t="s">
        <v>198</v>
      </c>
      <c r="E35" s="27" t="s">
        <v>278</v>
      </c>
      <c r="F35" s="28">
        <v>52.33</v>
      </c>
      <c r="G35" s="29">
        <v>43.5</v>
      </c>
      <c r="H35" s="28">
        <f aca="true" t="shared" si="18" ref="H35:H40">ROUND(F35*AE35,2)</f>
        <v>0</v>
      </c>
      <c r="I35" s="28">
        <f aca="true" t="shared" si="19" ref="I35:I40">J35-H35</f>
        <v>2276.36</v>
      </c>
      <c r="J35" s="28">
        <f aca="true" t="shared" si="20" ref="J35:J40">ROUND(F35*G35,2)</f>
        <v>2276.36</v>
      </c>
      <c r="K35" s="28">
        <v>0</v>
      </c>
      <c r="L35" s="28">
        <f aca="true" t="shared" si="21" ref="L35:L40">F35*K35</f>
        <v>0</v>
      </c>
      <c r="N35" s="9" t="s">
        <v>6</v>
      </c>
      <c r="O35" s="3">
        <f aca="true" t="shared" si="22" ref="O35:O40">IF(N35="5",I35,0)</f>
        <v>0</v>
      </c>
      <c r="Z35" s="3">
        <f aca="true" t="shared" si="23" ref="Z35:Z40">IF(AD35=0,J35,0)</f>
        <v>0</v>
      </c>
      <c r="AA35" s="3">
        <f aca="true" t="shared" si="24" ref="AA35:AA40">IF(AD35=14,J35,0)</f>
        <v>2276.36</v>
      </c>
      <c r="AB35" s="3">
        <f aca="true" t="shared" si="25" ref="AB35:AB40">IF(AD35=20,J35,0)</f>
        <v>0</v>
      </c>
      <c r="AD35" s="11">
        <v>14</v>
      </c>
      <c r="AE35" s="11">
        <f>G35*0</f>
        <v>0</v>
      </c>
      <c r="AF35" s="11">
        <f>G35*(1-0)</f>
        <v>43.5</v>
      </c>
    </row>
    <row r="36" spans="1:32" ht="25.5">
      <c r="A36" s="27" t="s">
        <v>25</v>
      </c>
      <c r="B36" s="27"/>
      <c r="C36" s="27" t="s">
        <v>106</v>
      </c>
      <c r="D36" s="27" t="s">
        <v>199</v>
      </c>
      <c r="E36" s="27" t="s">
        <v>278</v>
      </c>
      <c r="F36" s="28">
        <v>357.53</v>
      </c>
      <c r="G36" s="29">
        <v>72.5</v>
      </c>
      <c r="H36" s="28">
        <f t="shared" si="18"/>
        <v>0</v>
      </c>
      <c r="I36" s="28">
        <f t="shared" si="19"/>
        <v>25920.93</v>
      </c>
      <c r="J36" s="28">
        <f t="shared" si="20"/>
        <v>25920.93</v>
      </c>
      <c r="K36" s="28">
        <v>0</v>
      </c>
      <c r="L36" s="28">
        <f t="shared" si="21"/>
        <v>0</v>
      </c>
      <c r="N36" s="9" t="s">
        <v>6</v>
      </c>
      <c r="O36" s="3">
        <f t="shared" si="22"/>
        <v>0</v>
      </c>
      <c r="Z36" s="3">
        <f t="shared" si="23"/>
        <v>0</v>
      </c>
      <c r="AA36" s="3">
        <f t="shared" si="24"/>
        <v>25920.93</v>
      </c>
      <c r="AB36" s="3">
        <f t="shared" si="25"/>
        <v>0</v>
      </c>
      <c r="AD36" s="11">
        <v>14</v>
      </c>
      <c r="AE36" s="11">
        <f>G36*0</f>
        <v>0</v>
      </c>
      <c r="AF36" s="11">
        <f>G36*(1-0)</f>
        <v>72.5</v>
      </c>
    </row>
    <row r="37" spans="1:32" ht="25.5">
      <c r="A37" s="27" t="s">
        <v>26</v>
      </c>
      <c r="B37" s="27"/>
      <c r="C37" s="27" t="s">
        <v>107</v>
      </c>
      <c r="D37" s="27" t="s">
        <v>200</v>
      </c>
      <c r="E37" s="27" t="s">
        <v>278</v>
      </c>
      <c r="F37" s="28">
        <v>71.7</v>
      </c>
      <c r="G37" s="29">
        <v>136.88</v>
      </c>
      <c r="H37" s="28">
        <f t="shared" si="18"/>
        <v>0</v>
      </c>
      <c r="I37" s="28">
        <f t="shared" si="19"/>
        <v>9814.3</v>
      </c>
      <c r="J37" s="28">
        <f t="shared" si="20"/>
        <v>9814.3</v>
      </c>
      <c r="K37" s="28">
        <v>0</v>
      </c>
      <c r="L37" s="28">
        <f t="shared" si="21"/>
        <v>0</v>
      </c>
      <c r="N37" s="9" t="s">
        <v>6</v>
      </c>
      <c r="O37" s="3">
        <f t="shared" si="22"/>
        <v>0</v>
      </c>
      <c r="Z37" s="3">
        <f t="shared" si="23"/>
        <v>0</v>
      </c>
      <c r="AA37" s="3">
        <f t="shared" si="24"/>
        <v>9814.3</v>
      </c>
      <c r="AB37" s="3">
        <f t="shared" si="25"/>
        <v>0</v>
      </c>
      <c r="AD37" s="11">
        <v>14</v>
      </c>
      <c r="AE37" s="11">
        <f>G37*0</f>
        <v>0</v>
      </c>
      <c r="AF37" s="11">
        <f>G37*(1-0)</f>
        <v>136.88</v>
      </c>
    </row>
    <row r="38" spans="1:32" ht="25.5">
      <c r="A38" s="27" t="s">
        <v>27</v>
      </c>
      <c r="B38" s="27"/>
      <c r="C38" s="27" t="s">
        <v>108</v>
      </c>
      <c r="D38" s="27" t="s">
        <v>201</v>
      </c>
      <c r="E38" s="27" t="s">
        <v>278</v>
      </c>
      <c r="F38" s="28">
        <v>717</v>
      </c>
      <c r="G38" s="29">
        <v>14.26</v>
      </c>
      <c r="H38" s="28">
        <f t="shared" si="18"/>
        <v>0</v>
      </c>
      <c r="I38" s="28">
        <f t="shared" si="19"/>
        <v>10224.42</v>
      </c>
      <c r="J38" s="28">
        <f t="shared" si="20"/>
        <v>10224.42</v>
      </c>
      <c r="K38" s="28">
        <v>0</v>
      </c>
      <c r="L38" s="28">
        <f t="shared" si="21"/>
        <v>0</v>
      </c>
      <c r="N38" s="9" t="s">
        <v>6</v>
      </c>
      <c r="O38" s="3">
        <f t="shared" si="22"/>
        <v>0</v>
      </c>
      <c r="Z38" s="3">
        <f t="shared" si="23"/>
        <v>0</v>
      </c>
      <c r="AA38" s="3">
        <f t="shared" si="24"/>
        <v>10224.42</v>
      </c>
      <c r="AB38" s="3">
        <f t="shared" si="25"/>
        <v>0</v>
      </c>
      <c r="AD38" s="11">
        <v>14</v>
      </c>
      <c r="AE38" s="11">
        <f>G38*0</f>
        <v>0</v>
      </c>
      <c r="AF38" s="11">
        <f>G38*(1-0)</f>
        <v>14.26</v>
      </c>
    </row>
    <row r="39" spans="1:32" ht="25.5">
      <c r="A39" s="27" t="s">
        <v>28</v>
      </c>
      <c r="B39" s="27"/>
      <c r="C39" s="27" t="s">
        <v>109</v>
      </c>
      <c r="D39" s="27" t="s">
        <v>202</v>
      </c>
      <c r="E39" s="27" t="s">
        <v>278</v>
      </c>
      <c r="F39" s="28">
        <v>71.07</v>
      </c>
      <c r="G39" s="29">
        <v>84.09</v>
      </c>
      <c r="H39" s="28">
        <f t="shared" si="18"/>
        <v>0</v>
      </c>
      <c r="I39" s="28">
        <f t="shared" si="19"/>
        <v>5976.28</v>
      </c>
      <c r="J39" s="28">
        <f t="shared" si="20"/>
        <v>5976.28</v>
      </c>
      <c r="K39" s="28">
        <v>0</v>
      </c>
      <c r="L39" s="28">
        <f t="shared" si="21"/>
        <v>0</v>
      </c>
      <c r="N39" s="9" t="s">
        <v>6</v>
      </c>
      <c r="O39" s="3">
        <f t="shared" si="22"/>
        <v>0</v>
      </c>
      <c r="Z39" s="3">
        <f t="shared" si="23"/>
        <v>0</v>
      </c>
      <c r="AA39" s="3">
        <f t="shared" si="24"/>
        <v>5976.28</v>
      </c>
      <c r="AB39" s="3">
        <f t="shared" si="25"/>
        <v>0</v>
      </c>
      <c r="AD39" s="11">
        <v>14</v>
      </c>
      <c r="AE39" s="11">
        <f>G39*0</f>
        <v>0</v>
      </c>
      <c r="AF39" s="11">
        <f>G39*(1-0)</f>
        <v>84.09</v>
      </c>
    </row>
    <row r="40" spans="1:32" ht="25.5">
      <c r="A40" s="27" t="s">
        <v>29</v>
      </c>
      <c r="B40" s="27"/>
      <c r="C40" s="27" t="s">
        <v>110</v>
      </c>
      <c r="D40" s="27" t="s">
        <v>203</v>
      </c>
      <c r="E40" s="27" t="s">
        <v>279</v>
      </c>
      <c r="F40" s="28">
        <v>118.69</v>
      </c>
      <c r="G40" s="29">
        <v>150</v>
      </c>
      <c r="H40" s="28">
        <f t="shared" si="18"/>
        <v>17803.5</v>
      </c>
      <c r="I40" s="28">
        <f t="shared" si="19"/>
        <v>0</v>
      </c>
      <c r="J40" s="28">
        <f t="shared" si="20"/>
        <v>17803.5</v>
      </c>
      <c r="K40" s="28">
        <v>0</v>
      </c>
      <c r="L40" s="28">
        <f t="shared" si="21"/>
        <v>0</v>
      </c>
      <c r="N40" s="9" t="s">
        <v>6</v>
      </c>
      <c r="O40" s="3">
        <f t="shared" si="22"/>
        <v>0</v>
      </c>
      <c r="Z40" s="3">
        <f t="shared" si="23"/>
        <v>0</v>
      </c>
      <c r="AA40" s="3">
        <f t="shared" si="24"/>
        <v>17803.5</v>
      </c>
      <c r="AB40" s="3">
        <f t="shared" si="25"/>
        <v>0</v>
      </c>
      <c r="AD40" s="11">
        <v>14</v>
      </c>
      <c r="AE40" s="11">
        <f>G40*1</f>
        <v>150</v>
      </c>
      <c r="AF40" s="11">
        <f>G40*(1-1)</f>
        <v>0</v>
      </c>
    </row>
    <row r="41" spans="1:37" ht="12.75">
      <c r="A41" s="30"/>
      <c r="B41" s="30"/>
      <c r="C41" s="31" t="s">
        <v>22</v>
      </c>
      <c r="D41" s="140" t="s">
        <v>204</v>
      </c>
      <c r="E41" s="141"/>
      <c r="F41" s="141"/>
      <c r="G41" s="141"/>
      <c r="H41" s="32">
        <f>SUM(H42:H43)</f>
        <v>0</v>
      </c>
      <c r="I41" s="32">
        <f>SUM(I42:I43)</f>
        <v>44432.59</v>
      </c>
      <c r="J41" s="32">
        <f>H41+I41</f>
        <v>44432.59</v>
      </c>
      <c r="K41" s="33"/>
      <c r="L41" s="32">
        <f>SUM(L42:L43)</f>
        <v>0</v>
      </c>
      <c r="P41" s="12">
        <f>IF(Q41="PR",J41,SUM(O42:O43))</f>
        <v>0</v>
      </c>
      <c r="Q41" s="6" t="s">
        <v>298</v>
      </c>
      <c r="R41" s="12">
        <f>IF(Q41="HS",H41,0)</f>
        <v>0</v>
      </c>
      <c r="S41" s="12">
        <f>IF(Q41="HS",I41-P41,0)</f>
        <v>44432.59</v>
      </c>
      <c r="T41" s="12">
        <f>IF(Q41="PS",H41,0)</f>
        <v>0</v>
      </c>
      <c r="U41" s="12">
        <f>IF(Q41="PS",I41-P41,0)</f>
        <v>0</v>
      </c>
      <c r="V41" s="12">
        <f>IF(Q41="MP",H41,0)</f>
        <v>0</v>
      </c>
      <c r="W41" s="12">
        <f>IF(Q41="MP",I41-P41,0)</f>
        <v>0</v>
      </c>
      <c r="X41" s="12">
        <f>IF(Q41="OM",H41,0)</f>
        <v>0</v>
      </c>
      <c r="Y41" s="6"/>
      <c r="AI41" s="12">
        <f>SUM(Z42:Z43)</f>
        <v>0</v>
      </c>
      <c r="AJ41" s="12">
        <f>SUM(AA42:AA43)</f>
        <v>44432.59</v>
      </c>
      <c r="AK41" s="12">
        <f>SUM(AB42:AB43)</f>
        <v>0</v>
      </c>
    </row>
    <row r="42" spans="1:32" ht="25.5">
      <c r="A42" s="27" t="s">
        <v>30</v>
      </c>
      <c r="B42" s="27"/>
      <c r="C42" s="27" t="s">
        <v>111</v>
      </c>
      <c r="D42" s="27" t="s">
        <v>205</v>
      </c>
      <c r="E42" s="27" t="s">
        <v>278</v>
      </c>
      <c r="F42" s="28">
        <v>302.56</v>
      </c>
      <c r="G42" s="29">
        <v>69.08</v>
      </c>
      <c r="H42" s="28">
        <f>ROUND(F42*AE42,2)</f>
        <v>0</v>
      </c>
      <c r="I42" s="28">
        <f>J42-H42</f>
        <v>20900.84</v>
      </c>
      <c r="J42" s="28">
        <f>ROUND(F42*G42,2)</f>
        <v>20900.84</v>
      </c>
      <c r="K42" s="28">
        <v>0</v>
      </c>
      <c r="L42" s="28">
        <f>F42*K42</f>
        <v>0</v>
      </c>
      <c r="N42" s="9" t="s">
        <v>6</v>
      </c>
      <c r="O42" s="3">
        <f>IF(N42="5",I42,0)</f>
        <v>0</v>
      </c>
      <c r="Z42" s="3">
        <f>IF(AD42=0,J42,0)</f>
        <v>0</v>
      </c>
      <c r="AA42" s="3">
        <f>IF(AD42=14,J42,0)</f>
        <v>20900.84</v>
      </c>
      <c r="AB42" s="3">
        <f>IF(AD42=20,J42,0)</f>
        <v>0</v>
      </c>
      <c r="AD42" s="11">
        <v>14</v>
      </c>
      <c r="AE42" s="11">
        <f>G42*0</f>
        <v>0</v>
      </c>
      <c r="AF42" s="11">
        <f>G42*(1-0)</f>
        <v>69.08</v>
      </c>
    </row>
    <row r="43" spans="1:32" ht="25.5">
      <c r="A43" s="27" t="s">
        <v>31</v>
      </c>
      <c r="B43" s="27"/>
      <c r="C43" s="27" t="s">
        <v>112</v>
      </c>
      <c r="D43" s="27" t="s">
        <v>206</v>
      </c>
      <c r="E43" s="27" t="s">
        <v>278</v>
      </c>
      <c r="F43" s="28">
        <v>32.05</v>
      </c>
      <c r="G43" s="29">
        <v>734.22</v>
      </c>
      <c r="H43" s="28">
        <f>ROUND(F43*AE43,2)</f>
        <v>0</v>
      </c>
      <c r="I43" s="28">
        <f>J43-H43</f>
        <v>23531.75</v>
      </c>
      <c r="J43" s="28">
        <f>ROUND(F43*G43,2)</f>
        <v>23531.75</v>
      </c>
      <c r="K43" s="28">
        <v>0</v>
      </c>
      <c r="L43" s="28">
        <f>F43*K43</f>
        <v>0</v>
      </c>
      <c r="N43" s="9" t="s">
        <v>6</v>
      </c>
      <c r="O43" s="3">
        <f>IF(N43="5",I43,0)</f>
        <v>0</v>
      </c>
      <c r="Z43" s="3">
        <f>IF(AD43=0,J43,0)</f>
        <v>0</v>
      </c>
      <c r="AA43" s="3">
        <f>IF(AD43=14,J43,0)</f>
        <v>23531.75</v>
      </c>
      <c r="AB43" s="3">
        <f>IF(AD43=20,J43,0)</f>
        <v>0</v>
      </c>
      <c r="AD43" s="11">
        <v>14</v>
      </c>
      <c r="AE43" s="11">
        <f>G43*0</f>
        <v>0</v>
      </c>
      <c r="AF43" s="11">
        <f>G43*(1-0)</f>
        <v>734.22</v>
      </c>
    </row>
    <row r="44" spans="1:37" ht="12.75">
      <c r="A44" s="30"/>
      <c r="B44" s="30"/>
      <c r="C44" s="31" t="s">
        <v>50</v>
      </c>
      <c r="D44" s="140" t="s">
        <v>207</v>
      </c>
      <c r="E44" s="141"/>
      <c r="F44" s="141"/>
      <c r="G44" s="141"/>
      <c r="H44" s="32">
        <f>SUM(H45:H47)</f>
        <v>25116.64</v>
      </c>
      <c r="I44" s="32">
        <f>SUM(I45:I47)</f>
        <v>13508.960000000003</v>
      </c>
      <c r="J44" s="32">
        <f>H44+I44</f>
        <v>38625.600000000006</v>
      </c>
      <c r="K44" s="33"/>
      <c r="L44" s="32">
        <f>SUM(L45:L47)</f>
        <v>23.6073317</v>
      </c>
      <c r="P44" s="12">
        <f>IF(Q44="PR",J44,SUM(O45:O47))</f>
        <v>0</v>
      </c>
      <c r="Q44" s="6" t="s">
        <v>298</v>
      </c>
      <c r="R44" s="12">
        <f>IF(Q44="HS",H44,0)</f>
        <v>25116.64</v>
      </c>
      <c r="S44" s="12">
        <f>IF(Q44="HS",I44-P44,0)</f>
        <v>13508.960000000003</v>
      </c>
      <c r="T44" s="12">
        <f>IF(Q44="PS",H44,0)</f>
        <v>0</v>
      </c>
      <c r="U44" s="12">
        <f>IF(Q44="PS",I44-P44,0)</f>
        <v>0</v>
      </c>
      <c r="V44" s="12">
        <f>IF(Q44="MP",H44,0)</f>
        <v>0</v>
      </c>
      <c r="W44" s="12">
        <f>IF(Q44="MP",I44-P44,0)</f>
        <v>0</v>
      </c>
      <c r="X44" s="12">
        <f>IF(Q44="OM",H44,0)</f>
        <v>0</v>
      </c>
      <c r="Y44" s="6"/>
      <c r="AI44" s="12">
        <f>SUM(Z45:Z47)</f>
        <v>0</v>
      </c>
      <c r="AJ44" s="12">
        <f>SUM(AA45:AA47)</f>
        <v>38625.6</v>
      </c>
      <c r="AK44" s="12">
        <f>SUM(AB45:AB47)</f>
        <v>0</v>
      </c>
    </row>
    <row r="45" spans="1:32" ht="25.5">
      <c r="A45" s="27" t="s">
        <v>32</v>
      </c>
      <c r="B45" s="27"/>
      <c r="C45" s="27" t="s">
        <v>113</v>
      </c>
      <c r="D45" s="27" t="s">
        <v>208</v>
      </c>
      <c r="E45" s="27" t="s">
        <v>278</v>
      </c>
      <c r="F45" s="28">
        <v>7.09</v>
      </c>
      <c r="G45" s="29">
        <v>734.22</v>
      </c>
      <c r="H45" s="28">
        <f>ROUND(F45*AE45,2)</f>
        <v>3329.69</v>
      </c>
      <c r="I45" s="28">
        <f>J45-H45</f>
        <v>1875.9299999999998</v>
      </c>
      <c r="J45" s="28">
        <f>ROUND(F45*G45,2)</f>
        <v>5205.62</v>
      </c>
      <c r="K45" s="28">
        <v>1.89077</v>
      </c>
      <c r="L45" s="28">
        <f>F45*K45</f>
        <v>13.4055593</v>
      </c>
      <c r="N45" s="9" t="s">
        <v>6</v>
      </c>
      <c r="O45" s="3">
        <f>IF(N45="5",I45,0)</f>
        <v>0</v>
      </c>
      <c r="Z45" s="3">
        <f>IF(AD45=0,J45,0)</f>
        <v>0</v>
      </c>
      <c r="AA45" s="3">
        <f>IF(AD45=14,J45,0)</f>
        <v>5205.62</v>
      </c>
      <c r="AB45" s="3">
        <f>IF(AD45=20,J45,0)</f>
        <v>0</v>
      </c>
      <c r="AD45" s="11">
        <v>14</v>
      </c>
      <c r="AE45" s="11">
        <f>G45*0.639634146341463</f>
        <v>469.632182926829</v>
      </c>
      <c r="AF45" s="11">
        <f>G45*(1-0.639634146341463)</f>
        <v>264.58781707317104</v>
      </c>
    </row>
    <row r="46" spans="1:32" ht="25.5">
      <c r="A46" s="27" t="s">
        <v>33</v>
      </c>
      <c r="B46" s="27"/>
      <c r="C46" s="27" t="s">
        <v>114</v>
      </c>
      <c r="D46" s="27" t="s">
        <v>209</v>
      </c>
      <c r="E46" s="27" t="s">
        <v>278</v>
      </c>
      <c r="F46" s="28">
        <v>0.9</v>
      </c>
      <c r="G46" s="29">
        <v>2484.85</v>
      </c>
      <c r="H46" s="28">
        <f>ROUND(F46*AE46,2)</f>
        <v>1869.44</v>
      </c>
      <c r="I46" s="28">
        <f>J46-H46</f>
        <v>366.92999999999984</v>
      </c>
      <c r="J46" s="28">
        <f>ROUND(F46*G46,2)</f>
        <v>2236.37</v>
      </c>
      <c r="K46" s="28">
        <v>2.5</v>
      </c>
      <c r="L46" s="28">
        <f>F46*K46</f>
        <v>2.25</v>
      </c>
      <c r="N46" s="9" t="s">
        <v>6</v>
      </c>
      <c r="O46" s="3">
        <f>IF(N46="5",I46,0)</f>
        <v>0</v>
      </c>
      <c r="Z46" s="3">
        <f>IF(AD46=0,J46,0)</f>
        <v>0</v>
      </c>
      <c r="AA46" s="3">
        <f>IF(AD46=14,J46,0)</f>
        <v>2236.37</v>
      </c>
      <c r="AB46" s="3">
        <f>IF(AD46=20,J46,0)</f>
        <v>0</v>
      </c>
      <c r="AD46" s="11">
        <v>14</v>
      </c>
      <c r="AE46" s="11">
        <f>G46*0.835925992008332</f>
        <v>2077.150701241904</v>
      </c>
      <c r="AF46" s="11">
        <f>G46*(1-0.835925992008332)</f>
        <v>407.69929875809635</v>
      </c>
    </row>
    <row r="47" spans="1:32" ht="25.5">
      <c r="A47" s="27" t="s">
        <v>34</v>
      </c>
      <c r="B47" s="27"/>
      <c r="C47" s="27" t="s">
        <v>115</v>
      </c>
      <c r="D47" s="27" t="s">
        <v>210</v>
      </c>
      <c r="E47" s="27" t="s">
        <v>275</v>
      </c>
      <c r="F47" s="28">
        <v>98.34</v>
      </c>
      <c r="G47" s="29">
        <v>317.1</v>
      </c>
      <c r="H47" s="28">
        <f>ROUND(F47*AE47,2)</f>
        <v>19917.51</v>
      </c>
      <c r="I47" s="28">
        <f>J47-H47</f>
        <v>11266.100000000002</v>
      </c>
      <c r="J47" s="28">
        <f>ROUND(F47*G47,2)</f>
        <v>31183.61</v>
      </c>
      <c r="K47" s="28">
        <v>0.08086</v>
      </c>
      <c r="L47" s="28">
        <f>F47*K47</f>
        <v>7.9517724</v>
      </c>
      <c r="N47" s="9" t="s">
        <v>6</v>
      </c>
      <c r="O47" s="3">
        <f>IF(N47="5",I47,0)</f>
        <v>0</v>
      </c>
      <c r="Z47" s="3">
        <f>IF(AD47=0,J47,0)</f>
        <v>0</v>
      </c>
      <c r="AA47" s="3">
        <f>IF(AD47=14,J47,0)</f>
        <v>31183.61</v>
      </c>
      <c r="AB47" s="3">
        <f>IF(AD47=20,J47,0)</f>
        <v>0</v>
      </c>
      <c r="AD47" s="11">
        <v>14</v>
      </c>
      <c r="AE47" s="11">
        <f>G47*0.638717201166181</f>
        <v>202.53722448979602</v>
      </c>
      <c r="AF47" s="11">
        <f>G47*(1-0.638717201166181)</f>
        <v>114.562775510204</v>
      </c>
    </row>
    <row r="48" spans="1:37" ht="12.75">
      <c r="A48" s="30"/>
      <c r="B48" s="30"/>
      <c r="C48" s="31" t="s">
        <v>61</v>
      </c>
      <c r="D48" s="140" t="s">
        <v>211</v>
      </c>
      <c r="E48" s="141"/>
      <c r="F48" s="141"/>
      <c r="G48" s="141"/>
      <c r="H48" s="32">
        <f>SUM(H49:H50)</f>
        <v>7926.3</v>
      </c>
      <c r="I48" s="32">
        <f>SUM(I49:I50)</f>
        <v>537.4299999999996</v>
      </c>
      <c r="J48" s="32">
        <f>H48+I48</f>
        <v>8463.73</v>
      </c>
      <c r="K48" s="33"/>
      <c r="L48" s="32">
        <f>SUM(L49:L50)</f>
        <v>8.374474000000001</v>
      </c>
      <c r="P48" s="12">
        <f>IF(Q48="PR",J48,SUM(O49:O50))</f>
        <v>0</v>
      </c>
      <c r="Q48" s="6" t="s">
        <v>298</v>
      </c>
      <c r="R48" s="12">
        <f>IF(Q48="HS",H48,0)</f>
        <v>7926.3</v>
      </c>
      <c r="S48" s="12">
        <f>IF(Q48="HS",I48-P48,0)</f>
        <v>537.4299999999996</v>
      </c>
      <c r="T48" s="12">
        <f>IF(Q48="PS",H48,0)</f>
        <v>0</v>
      </c>
      <c r="U48" s="12">
        <f>IF(Q48="PS",I48-P48,0)</f>
        <v>0</v>
      </c>
      <c r="V48" s="12">
        <f>IF(Q48="MP",H48,0)</f>
        <v>0</v>
      </c>
      <c r="W48" s="12">
        <f>IF(Q48="MP",I48-P48,0)</f>
        <v>0</v>
      </c>
      <c r="X48" s="12">
        <f>IF(Q48="OM",H48,0)</f>
        <v>0</v>
      </c>
      <c r="Y48" s="6"/>
      <c r="AI48" s="12">
        <f>SUM(Z49:Z50)</f>
        <v>0</v>
      </c>
      <c r="AJ48" s="12">
        <f>SUM(AA49:AA50)</f>
        <v>8463.73</v>
      </c>
      <c r="AK48" s="12">
        <f>SUM(AB49:AB50)</f>
        <v>0</v>
      </c>
    </row>
    <row r="49" spans="1:32" ht="25.5">
      <c r="A49" s="27" t="s">
        <v>35</v>
      </c>
      <c r="B49" s="27"/>
      <c r="C49" s="27" t="s">
        <v>116</v>
      </c>
      <c r="D49" s="27" t="s">
        <v>212</v>
      </c>
      <c r="E49" s="27" t="s">
        <v>278</v>
      </c>
      <c r="F49" s="28">
        <v>2.22</v>
      </c>
      <c r="G49" s="29">
        <v>850</v>
      </c>
      <c r="H49" s="28">
        <f>ROUND(F49*AE49,2)</f>
        <v>1714.64</v>
      </c>
      <c r="I49" s="28">
        <f>J49-H49</f>
        <v>172.3599999999999</v>
      </c>
      <c r="J49" s="28">
        <f>ROUND(F49*G49,2)</f>
        <v>1887</v>
      </c>
      <c r="K49" s="28">
        <v>1.6867</v>
      </c>
      <c r="L49" s="28">
        <f>F49*K49</f>
        <v>3.7444740000000007</v>
      </c>
      <c r="N49" s="9" t="s">
        <v>6</v>
      </c>
      <c r="O49" s="3">
        <f>IF(N49="5",I49,0)</f>
        <v>0</v>
      </c>
      <c r="Z49" s="3">
        <f>IF(AD49=0,J49,0)</f>
        <v>0</v>
      </c>
      <c r="AA49" s="3">
        <f>IF(AD49=14,J49,0)</f>
        <v>1887</v>
      </c>
      <c r="AB49" s="3">
        <f>IF(AD49=20,J49,0)</f>
        <v>0</v>
      </c>
      <c r="AD49" s="11">
        <v>14</v>
      </c>
      <c r="AE49" s="11">
        <f>G49*0.908658420551855</f>
        <v>772.3596574690768</v>
      </c>
      <c r="AF49" s="11">
        <f>G49*(1-0.908658420551855)</f>
        <v>77.64034253092328</v>
      </c>
    </row>
    <row r="50" spans="1:32" ht="25.5">
      <c r="A50" s="27" t="s">
        <v>36</v>
      </c>
      <c r="B50" s="27"/>
      <c r="C50" s="27" t="s">
        <v>117</v>
      </c>
      <c r="D50" s="27" t="s">
        <v>213</v>
      </c>
      <c r="E50" s="27" t="s">
        <v>279</v>
      </c>
      <c r="F50" s="28">
        <v>4.63</v>
      </c>
      <c r="G50" s="29">
        <v>1420.46</v>
      </c>
      <c r="H50" s="28">
        <f>ROUND(F50*AE50,2)</f>
        <v>6211.66</v>
      </c>
      <c r="I50" s="28">
        <f>J50-H50</f>
        <v>365.0699999999997</v>
      </c>
      <c r="J50" s="28">
        <f>ROUND(F50*G50,2)</f>
        <v>6576.73</v>
      </c>
      <c r="K50" s="28">
        <v>1</v>
      </c>
      <c r="L50" s="28">
        <f>F50*K50</f>
        <v>4.63</v>
      </c>
      <c r="N50" s="9" t="s">
        <v>6</v>
      </c>
      <c r="O50" s="3">
        <f>IF(N50="5",I50,0)</f>
        <v>0</v>
      </c>
      <c r="Z50" s="3">
        <f>IF(AD50=0,J50,0)</f>
        <v>0</v>
      </c>
      <c r="AA50" s="3">
        <f>IF(AD50=14,J50,0)</f>
        <v>6576.73</v>
      </c>
      <c r="AB50" s="3">
        <f>IF(AD50=20,J50,0)</f>
        <v>0</v>
      </c>
      <c r="AD50" s="11">
        <v>14</v>
      </c>
      <c r="AE50" s="11">
        <f>G50*0.944491139240506</f>
        <v>1341.6118836455692</v>
      </c>
      <c r="AF50" s="11">
        <f>G50*(1-0.944491139240506)</f>
        <v>78.84811635443087</v>
      </c>
    </row>
    <row r="51" spans="1:37" ht="12.75" customHeight="1">
      <c r="A51" s="30"/>
      <c r="B51" s="30"/>
      <c r="C51" s="31" t="s">
        <v>62</v>
      </c>
      <c r="D51" s="140" t="s">
        <v>214</v>
      </c>
      <c r="E51" s="140"/>
      <c r="F51" s="140"/>
      <c r="G51" s="140"/>
      <c r="H51" s="32">
        <f>SUM(H52:H52)</f>
        <v>5087.02</v>
      </c>
      <c r="I51" s="32">
        <f>SUM(I52:I52)</f>
        <v>959.4799999999996</v>
      </c>
      <c r="J51" s="32">
        <f>H51+I51</f>
        <v>6046.5</v>
      </c>
      <c r="K51" s="33"/>
      <c r="L51" s="32">
        <f>SUM(L52:L52)</f>
        <v>1.40526</v>
      </c>
      <c r="P51" s="12">
        <f>IF(Q51="PR",J51,SUM(O52:O52))</f>
        <v>0</v>
      </c>
      <c r="Q51" s="6" t="s">
        <v>298</v>
      </c>
      <c r="R51" s="12">
        <f>IF(Q51="HS",H51,0)</f>
        <v>5087.02</v>
      </c>
      <c r="S51" s="12">
        <f>IF(Q51="HS",I51-P51,0)</f>
        <v>959.4799999999996</v>
      </c>
      <c r="T51" s="12">
        <f>IF(Q51="PS",H51,0)</f>
        <v>0</v>
      </c>
      <c r="U51" s="12">
        <f>IF(Q51="PS",I51-P51,0)</f>
        <v>0</v>
      </c>
      <c r="V51" s="12">
        <f>IF(Q51="MP",H51,0)</f>
        <v>0</v>
      </c>
      <c r="W51" s="12">
        <f>IF(Q51="MP",I51-P51,0)</f>
        <v>0</v>
      </c>
      <c r="X51" s="12">
        <f>IF(Q51="OM",H51,0)</f>
        <v>0</v>
      </c>
      <c r="Y51" s="6"/>
      <c r="AI51" s="12">
        <f>SUM(Z52:Z52)</f>
        <v>0</v>
      </c>
      <c r="AJ51" s="12">
        <f>SUM(AA52:AA52)</f>
        <v>6046.5</v>
      </c>
      <c r="AK51" s="12">
        <f>SUM(AB52:AB52)</f>
        <v>0</v>
      </c>
    </row>
    <row r="52" spans="1:32" ht="25.5">
      <c r="A52" s="27" t="s">
        <v>37</v>
      </c>
      <c r="B52" s="27"/>
      <c r="C52" s="27" t="s">
        <v>118</v>
      </c>
      <c r="D52" s="27" t="s">
        <v>215</v>
      </c>
      <c r="E52" s="27" t="s">
        <v>275</v>
      </c>
      <c r="F52" s="28">
        <v>11.1</v>
      </c>
      <c r="G52" s="29">
        <v>544.73</v>
      </c>
      <c r="H52" s="28">
        <f>ROUND(F52*AE52,2)</f>
        <v>5087.02</v>
      </c>
      <c r="I52" s="28">
        <f>J52-H52</f>
        <v>959.4799999999996</v>
      </c>
      <c r="J52" s="28">
        <f>ROUND(F52*G52,2)</f>
        <v>6046.5</v>
      </c>
      <c r="K52" s="28">
        <v>0.1266</v>
      </c>
      <c r="L52" s="28">
        <f>F52*K52</f>
        <v>1.40526</v>
      </c>
      <c r="N52" s="9" t="s">
        <v>6</v>
      </c>
      <c r="O52" s="3">
        <f>IF(N52="5",I52,0)</f>
        <v>0</v>
      </c>
      <c r="Z52" s="3">
        <f>IF(AD52=0,J52,0)</f>
        <v>0</v>
      </c>
      <c r="AA52" s="3">
        <f>IF(AD52=14,J52,0)</f>
        <v>6046.5</v>
      </c>
      <c r="AB52" s="3">
        <f>IF(AD52=20,J52,0)</f>
        <v>0</v>
      </c>
      <c r="AD52" s="11">
        <v>14</v>
      </c>
      <c r="AE52" s="11">
        <f>G52*0.841316825821729</f>
        <v>458.29051452987045</v>
      </c>
      <c r="AF52" s="11">
        <f>G52*(1-0.841316825821729)</f>
        <v>86.4394854701296</v>
      </c>
    </row>
    <row r="53" spans="1:37" ht="12.75">
      <c r="A53" s="30"/>
      <c r="B53" s="30"/>
      <c r="C53" s="31" t="s">
        <v>119</v>
      </c>
      <c r="D53" s="140" t="s">
        <v>216</v>
      </c>
      <c r="E53" s="141"/>
      <c r="F53" s="141"/>
      <c r="G53" s="141"/>
      <c r="H53" s="32">
        <f>SUM(H54:H61)</f>
        <v>17.65</v>
      </c>
      <c r="I53" s="32">
        <f>SUM(I54:I61)</f>
        <v>2681.7999999999997</v>
      </c>
      <c r="J53" s="32">
        <f>H53+I53</f>
        <v>2699.45</v>
      </c>
      <c r="K53" s="33"/>
      <c r="L53" s="32">
        <f>SUM(L54:L61)</f>
        <v>0.0006250000000000001</v>
      </c>
      <c r="P53" s="12">
        <f>IF(Q53="PR",J53,SUM(O54:O61))</f>
        <v>0</v>
      </c>
      <c r="Q53" s="6" t="s">
        <v>298</v>
      </c>
      <c r="R53" s="12">
        <f>IF(Q53="HS",H53,0)</f>
        <v>17.65</v>
      </c>
      <c r="S53" s="12">
        <f>IF(Q53="HS",I53-P53,0)</f>
        <v>2681.7999999999997</v>
      </c>
      <c r="T53" s="12">
        <f>IF(Q53="PS",H53,0)</f>
        <v>0</v>
      </c>
      <c r="U53" s="12">
        <f>IF(Q53="PS",I53-P53,0)</f>
        <v>0</v>
      </c>
      <c r="V53" s="12">
        <f>IF(Q53="MP",H53,0)</f>
        <v>0</v>
      </c>
      <c r="W53" s="12">
        <f>IF(Q53="MP",I53-P53,0)</f>
        <v>0</v>
      </c>
      <c r="X53" s="12">
        <f>IF(Q53="OM",H53,0)</f>
        <v>0</v>
      </c>
      <c r="Y53" s="6"/>
      <c r="AI53" s="12">
        <f>SUM(Z54:Z61)</f>
        <v>0</v>
      </c>
      <c r="AJ53" s="12">
        <f>SUM(AA54:AA61)</f>
        <v>2699.4500000000003</v>
      </c>
      <c r="AK53" s="12">
        <f>SUM(AB54:AB61)</f>
        <v>0</v>
      </c>
    </row>
    <row r="54" spans="1:32" ht="25.5">
      <c r="A54" s="27" t="s">
        <v>38</v>
      </c>
      <c r="B54" s="27"/>
      <c r="C54" s="27" t="s">
        <v>120</v>
      </c>
      <c r="D54" s="27" t="s">
        <v>217</v>
      </c>
      <c r="E54" s="27" t="s">
        <v>274</v>
      </c>
      <c r="F54" s="28">
        <v>13.1</v>
      </c>
      <c r="G54" s="29">
        <v>25.04</v>
      </c>
      <c r="H54" s="28">
        <f aca="true" t="shared" si="26" ref="H54:H61">ROUND(F54*AE54,2)</f>
        <v>1.54</v>
      </c>
      <c r="I54" s="28">
        <f aca="true" t="shared" si="27" ref="I54:I61">J54-H54</f>
        <v>326.47999999999996</v>
      </c>
      <c r="J54" s="28">
        <f aca="true" t="shared" si="28" ref="J54:J61">ROUND(F54*G54,2)</f>
        <v>328.02</v>
      </c>
      <c r="K54" s="28">
        <v>0</v>
      </c>
      <c r="L54" s="28">
        <f aca="true" t="shared" si="29" ref="L54:L61">F54*K54</f>
        <v>0</v>
      </c>
      <c r="N54" s="9" t="s">
        <v>6</v>
      </c>
      <c r="O54" s="3">
        <f aca="true" t="shared" si="30" ref="O54:O61">IF(N54="5",I54,0)</f>
        <v>0</v>
      </c>
      <c r="Z54" s="3">
        <f aca="true" t="shared" si="31" ref="Z54:Z61">IF(AD54=0,J54,0)</f>
        <v>0</v>
      </c>
      <c r="AA54" s="3">
        <f aca="true" t="shared" si="32" ref="AA54:AA61">IF(AD54=14,J54,0)</f>
        <v>328.02</v>
      </c>
      <c r="AB54" s="3">
        <f aca="true" t="shared" si="33" ref="AB54:AB61">IF(AD54=20,J54,0)</f>
        <v>0</v>
      </c>
      <c r="AD54" s="11">
        <v>14</v>
      </c>
      <c r="AE54" s="11">
        <f>G54*0.00468505986465383</f>
        <v>0.11731389901093191</v>
      </c>
      <c r="AF54" s="11">
        <f>G54*(1-0.00468505986465383)</f>
        <v>24.92268610098907</v>
      </c>
    </row>
    <row r="55" spans="1:32" ht="25.5">
      <c r="A55" s="27" t="s">
        <v>39</v>
      </c>
      <c r="B55" s="27"/>
      <c r="C55" s="27" t="s">
        <v>121</v>
      </c>
      <c r="D55" s="27" t="s">
        <v>218</v>
      </c>
      <c r="E55" s="27" t="s">
        <v>274</v>
      </c>
      <c r="F55" s="28">
        <v>16</v>
      </c>
      <c r="G55" s="29">
        <v>30.66</v>
      </c>
      <c r="H55" s="28">
        <f t="shared" si="26"/>
        <v>2.93</v>
      </c>
      <c r="I55" s="28">
        <f t="shared" si="27"/>
        <v>487.63</v>
      </c>
      <c r="J55" s="28">
        <f t="shared" si="28"/>
        <v>490.56</v>
      </c>
      <c r="K55" s="28">
        <v>1E-05</v>
      </c>
      <c r="L55" s="28">
        <f t="shared" si="29"/>
        <v>0.00016</v>
      </c>
      <c r="N55" s="9" t="s">
        <v>6</v>
      </c>
      <c r="O55" s="3">
        <f t="shared" si="30"/>
        <v>0</v>
      </c>
      <c r="Z55" s="3">
        <f t="shared" si="31"/>
        <v>0</v>
      </c>
      <c r="AA55" s="3">
        <f t="shared" si="32"/>
        <v>490.56</v>
      </c>
      <c r="AB55" s="3">
        <f t="shared" si="33"/>
        <v>0</v>
      </c>
      <c r="AD55" s="11">
        <v>14</v>
      </c>
      <c r="AE55" s="11">
        <f>G55*0.00598290598290598</f>
        <v>0.18343589743589733</v>
      </c>
      <c r="AF55" s="11">
        <f>G55*(1-0.00598290598290598)</f>
        <v>30.476564102564105</v>
      </c>
    </row>
    <row r="56" spans="1:32" ht="25.5">
      <c r="A56" s="27" t="s">
        <v>40</v>
      </c>
      <c r="B56" s="27"/>
      <c r="C56" s="27" t="s">
        <v>122</v>
      </c>
      <c r="D56" s="27" t="s">
        <v>219</v>
      </c>
      <c r="E56" s="27" t="s">
        <v>274</v>
      </c>
      <c r="F56" s="28">
        <v>8.5</v>
      </c>
      <c r="G56" s="29">
        <v>36.31</v>
      </c>
      <c r="H56" s="28">
        <f t="shared" si="26"/>
        <v>1.88</v>
      </c>
      <c r="I56" s="28">
        <f t="shared" si="27"/>
        <v>306.76</v>
      </c>
      <c r="J56" s="28">
        <f t="shared" si="28"/>
        <v>308.64</v>
      </c>
      <c r="K56" s="28">
        <v>1E-05</v>
      </c>
      <c r="L56" s="28">
        <f t="shared" si="29"/>
        <v>8.5E-05</v>
      </c>
      <c r="N56" s="9" t="s">
        <v>6</v>
      </c>
      <c r="O56" s="3">
        <f t="shared" si="30"/>
        <v>0</v>
      </c>
      <c r="Z56" s="3">
        <f t="shared" si="31"/>
        <v>0</v>
      </c>
      <c r="AA56" s="3">
        <f t="shared" si="32"/>
        <v>308.64</v>
      </c>
      <c r="AB56" s="3">
        <f t="shared" si="33"/>
        <v>0</v>
      </c>
      <c r="AD56" s="11">
        <v>14</v>
      </c>
      <c r="AE56" s="11">
        <f>G56*0.00608779237423903</f>
        <v>0.2210477411086192</v>
      </c>
      <c r="AF56" s="11">
        <f>G56*(1-0.00608779237423903)</f>
        <v>36.08895225889138</v>
      </c>
    </row>
    <row r="57" spans="1:32" ht="25.5">
      <c r="A57" s="27" t="s">
        <v>41</v>
      </c>
      <c r="B57" s="27"/>
      <c r="C57" s="27" t="s">
        <v>123</v>
      </c>
      <c r="D57" s="27" t="s">
        <v>220</v>
      </c>
      <c r="E57" s="27" t="s">
        <v>280</v>
      </c>
      <c r="F57" s="28">
        <v>4</v>
      </c>
      <c r="G57" s="29">
        <v>68.09</v>
      </c>
      <c r="H57" s="28">
        <f t="shared" si="26"/>
        <v>1.53</v>
      </c>
      <c r="I57" s="28">
        <f t="shared" si="27"/>
        <v>270.83000000000004</v>
      </c>
      <c r="J57" s="28">
        <f t="shared" si="28"/>
        <v>272.36</v>
      </c>
      <c r="K57" s="28">
        <v>1E-05</v>
      </c>
      <c r="L57" s="28">
        <f t="shared" si="29"/>
        <v>4E-05</v>
      </c>
      <c r="N57" s="9" t="s">
        <v>6</v>
      </c>
      <c r="O57" s="3">
        <f t="shared" si="30"/>
        <v>0</v>
      </c>
      <c r="Z57" s="3">
        <f t="shared" si="31"/>
        <v>0</v>
      </c>
      <c r="AA57" s="3">
        <f t="shared" si="32"/>
        <v>272.36</v>
      </c>
      <c r="AB57" s="3">
        <f t="shared" si="33"/>
        <v>0</v>
      </c>
      <c r="AD57" s="11">
        <v>14</v>
      </c>
      <c r="AE57" s="11">
        <f>G57*0.00562124442721458</f>
        <v>0.3827505330490408</v>
      </c>
      <c r="AF57" s="11">
        <f>G57*(1-0.00562124442721458)</f>
        <v>67.70724946695097</v>
      </c>
    </row>
    <row r="58" spans="1:32" ht="25.5">
      <c r="A58" s="27" t="s">
        <v>42</v>
      </c>
      <c r="B58" s="27"/>
      <c r="C58" s="27" t="s">
        <v>124</v>
      </c>
      <c r="D58" s="27" t="s">
        <v>221</v>
      </c>
      <c r="E58" s="27" t="s">
        <v>280</v>
      </c>
      <c r="F58" s="28">
        <v>1</v>
      </c>
      <c r="G58" s="29">
        <v>127.65</v>
      </c>
      <c r="H58" s="28">
        <f t="shared" si="26"/>
        <v>0.93</v>
      </c>
      <c r="I58" s="28">
        <f t="shared" si="27"/>
        <v>126.72</v>
      </c>
      <c r="J58" s="28">
        <f t="shared" si="28"/>
        <v>127.65</v>
      </c>
      <c r="K58" s="28">
        <v>3E-05</v>
      </c>
      <c r="L58" s="28">
        <f t="shared" si="29"/>
        <v>3E-05</v>
      </c>
      <c r="N58" s="9" t="s">
        <v>6</v>
      </c>
      <c r="O58" s="3">
        <f t="shared" si="30"/>
        <v>0</v>
      </c>
      <c r="Z58" s="3">
        <f t="shared" si="31"/>
        <v>0</v>
      </c>
      <c r="AA58" s="3">
        <f t="shared" si="32"/>
        <v>127.65</v>
      </c>
      <c r="AB58" s="3">
        <f t="shared" si="33"/>
        <v>0</v>
      </c>
      <c r="AD58" s="11">
        <v>14</v>
      </c>
      <c r="AE58" s="11">
        <f>G58*0.00731958762886598</f>
        <v>0.9343453608247424</v>
      </c>
      <c r="AF58" s="11">
        <f>G58*(1-0.00731958762886598)</f>
        <v>126.71565463917527</v>
      </c>
    </row>
    <row r="59" spans="1:32" ht="25.5">
      <c r="A59" s="27" t="s">
        <v>43</v>
      </c>
      <c r="B59" s="27"/>
      <c r="C59" s="27" t="s">
        <v>125</v>
      </c>
      <c r="D59" s="27" t="s">
        <v>222</v>
      </c>
      <c r="E59" s="27" t="s">
        <v>280</v>
      </c>
      <c r="F59" s="28">
        <v>10</v>
      </c>
      <c r="G59" s="29">
        <v>79.97</v>
      </c>
      <c r="H59" s="28">
        <f t="shared" si="26"/>
        <v>5.55</v>
      </c>
      <c r="I59" s="28">
        <f t="shared" si="27"/>
        <v>794.1500000000001</v>
      </c>
      <c r="J59" s="28">
        <f t="shared" si="28"/>
        <v>799.7</v>
      </c>
      <c r="K59" s="28">
        <v>2E-05</v>
      </c>
      <c r="L59" s="28">
        <f t="shared" si="29"/>
        <v>0.0002</v>
      </c>
      <c r="N59" s="9" t="s">
        <v>6</v>
      </c>
      <c r="O59" s="3">
        <f t="shared" si="30"/>
        <v>0</v>
      </c>
      <c r="Z59" s="3">
        <f t="shared" si="31"/>
        <v>0</v>
      </c>
      <c r="AA59" s="3">
        <f t="shared" si="32"/>
        <v>799.7</v>
      </c>
      <c r="AB59" s="3">
        <f t="shared" si="33"/>
        <v>0</v>
      </c>
      <c r="AD59" s="11">
        <v>14</v>
      </c>
      <c r="AE59" s="11">
        <f>G59*0.00694214876033058</f>
        <v>0.5551636363636365</v>
      </c>
      <c r="AF59" s="11">
        <f>G59*(1-0.00694214876033058)</f>
        <v>79.41483636363635</v>
      </c>
    </row>
    <row r="60" spans="1:32" ht="25.5">
      <c r="A60" s="27" t="s">
        <v>44</v>
      </c>
      <c r="B60" s="27"/>
      <c r="C60" s="27" t="s">
        <v>126</v>
      </c>
      <c r="D60" s="27" t="s">
        <v>223</v>
      </c>
      <c r="E60" s="27" t="s">
        <v>280</v>
      </c>
      <c r="F60" s="28">
        <v>1</v>
      </c>
      <c r="G60" s="29">
        <v>163.3</v>
      </c>
      <c r="H60" s="28">
        <f t="shared" si="26"/>
        <v>1.47</v>
      </c>
      <c r="I60" s="28">
        <f t="shared" si="27"/>
        <v>161.83</v>
      </c>
      <c r="J60" s="28">
        <f t="shared" si="28"/>
        <v>163.3</v>
      </c>
      <c r="K60" s="28">
        <v>5E-05</v>
      </c>
      <c r="L60" s="28">
        <f t="shared" si="29"/>
        <v>5E-05</v>
      </c>
      <c r="N60" s="9" t="s">
        <v>6</v>
      </c>
      <c r="O60" s="3">
        <f t="shared" si="30"/>
        <v>0</v>
      </c>
      <c r="Z60" s="3">
        <f t="shared" si="31"/>
        <v>0</v>
      </c>
      <c r="AA60" s="3">
        <f t="shared" si="32"/>
        <v>163.3</v>
      </c>
      <c r="AB60" s="3">
        <f t="shared" si="33"/>
        <v>0</v>
      </c>
      <c r="AD60" s="11">
        <v>14</v>
      </c>
      <c r="AE60" s="11">
        <f>G60*0.00898858207142279</f>
        <v>1.4678354522633417</v>
      </c>
      <c r="AF60" s="11">
        <f>G60*(1-0.00898858207142279)</f>
        <v>161.83216454773665</v>
      </c>
    </row>
    <row r="61" spans="1:32" ht="25.5">
      <c r="A61" s="27" t="s">
        <v>45</v>
      </c>
      <c r="B61" s="27"/>
      <c r="C61" s="27" t="s">
        <v>127</v>
      </c>
      <c r="D61" s="27" t="s">
        <v>224</v>
      </c>
      <c r="E61" s="27" t="s">
        <v>280</v>
      </c>
      <c r="F61" s="28">
        <v>2</v>
      </c>
      <c r="G61" s="29">
        <v>104.61</v>
      </c>
      <c r="H61" s="28">
        <f t="shared" si="26"/>
        <v>1.82</v>
      </c>
      <c r="I61" s="28">
        <f t="shared" si="27"/>
        <v>207.4</v>
      </c>
      <c r="J61" s="28">
        <f t="shared" si="28"/>
        <v>209.22</v>
      </c>
      <c r="K61" s="28">
        <v>3E-05</v>
      </c>
      <c r="L61" s="28">
        <f t="shared" si="29"/>
        <v>6E-05</v>
      </c>
      <c r="N61" s="9" t="s">
        <v>6</v>
      </c>
      <c r="O61" s="3">
        <f t="shared" si="30"/>
        <v>0</v>
      </c>
      <c r="Z61" s="3">
        <f t="shared" si="31"/>
        <v>0</v>
      </c>
      <c r="AA61" s="3">
        <f t="shared" si="32"/>
        <v>209.22</v>
      </c>
      <c r="AB61" s="3">
        <f t="shared" si="33"/>
        <v>0</v>
      </c>
      <c r="AD61" s="11">
        <v>14</v>
      </c>
      <c r="AE61" s="11">
        <f>G61*0.00871212121212121</f>
        <v>0.9113749999999997</v>
      </c>
      <c r="AF61" s="11">
        <f>G61*(1-0.00871212121212121)</f>
        <v>103.698625</v>
      </c>
    </row>
    <row r="62" spans="1:37" ht="12.75">
      <c r="A62" s="30"/>
      <c r="B62" s="30"/>
      <c r="C62" s="31" t="s">
        <v>128</v>
      </c>
      <c r="D62" s="140" t="s">
        <v>225</v>
      </c>
      <c r="E62" s="141"/>
      <c r="F62" s="141"/>
      <c r="G62" s="141"/>
      <c r="H62" s="32">
        <f>SUM(H63:H71)</f>
        <v>63953.24</v>
      </c>
      <c r="I62" s="32">
        <f>SUM(I63:I71)</f>
        <v>32897.04</v>
      </c>
      <c r="J62" s="32">
        <f>H62+I62</f>
        <v>96850.28</v>
      </c>
      <c r="K62" s="33"/>
      <c r="L62" s="32">
        <f>SUM(L63:L71)</f>
        <v>10.822280000000001</v>
      </c>
      <c r="P62" s="12">
        <f>IF(Q62="PR",J62,SUM(O63:O71))</f>
        <v>0</v>
      </c>
      <c r="Q62" s="6" t="s">
        <v>298</v>
      </c>
      <c r="R62" s="12">
        <f>IF(Q62="HS",H62,0)</f>
        <v>63953.24</v>
      </c>
      <c r="S62" s="12">
        <f>IF(Q62="HS",I62-P62,0)</f>
        <v>32897.04</v>
      </c>
      <c r="T62" s="12">
        <f>IF(Q62="PS",H62,0)</f>
        <v>0</v>
      </c>
      <c r="U62" s="12">
        <f>IF(Q62="PS",I62-P62,0)</f>
        <v>0</v>
      </c>
      <c r="V62" s="12">
        <f>IF(Q62="MP",H62,0)</f>
        <v>0</v>
      </c>
      <c r="W62" s="12">
        <f>IF(Q62="MP",I62-P62,0)</f>
        <v>0</v>
      </c>
      <c r="X62" s="12">
        <f>IF(Q62="OM",H62,0)</f>
        <v>0</v>
      </c>
      <c r="Y62" s="6"/>
      <c r="AI62" s="12">
        <f>SUM(Z63:Z71)</f>
        <v>0</v>
      </c>
      <c r="AJ62" s="12">
        <f>SUM(AA63:AA71)</f>
        <v>96850.28000000001</v>
      </c>
      <c r="AK62" s="12">
        <f>SUM(AB63:AB71)</f>
        <v>0</v>
      </c>
    </row>
    <row r="63" spans="1:32" ht="25.5">
      <c r="A63" s="27" t="s">
        <v>46</v>
      </c>
      <c r="B63" s="27"/>
      <c r="C63" s="27" t="s">
        <v>129</v>
      </c>
      <c r="D63" s="27" t="s">
        <v>226</v>
      </c>
      <c r="E63" s="27" t="s">
        <v>274</v>
      </c>
      <c r="F63" s="28">
        <v>29.1</v>
      </c>
      <c r="G63" s="29">
        <v>141.03</v>
      </c>
      <c r="H63" s="28">
        <f aca="true" t="shared" si="34" ref="H63:H71">ROUND(F63*AE63,2)</f>
        <v>300.08</v>
      </c>
      <c r="I63" s="28">
        <f aca="true" t="shared" si="35" ref="I63:I71">J63-H63</f>
        <v>3803.8900000000003</v>
      </c>
      <c r="J63" s="28">
        <f aca="true" t="shared" si="36" ref="J63:J71">ROUND(F63*G63,2)</f>
        <v>4103.97</v>
      </c>
      <c r="K63" s="28">
        <v>0</v>
      </c>
      <c r="L63" s="28">
        <f aca="true" t="shared" si="37" ref="L63:L71">F63*K63</f>
        <v>0</v>
      </c>
      <c r="N63" s="9" t="s">
        <v>6</v>
      </c>
      <c r="O63" s="3">
        <f aca="true" t="shared" si="38" ref="O63:O71">IF(N63="5",I63,0)</f>
        <v>0</v>
      </c>
      <c r="Z63" s="3">
        <f aca="true" t="shared" si="39" ref="Z63:Z71">IF(AD63=0,J63,0)</f>
        <v>0</v>
      </c>
      <c r="AA63" s="3">
        <f aca="true" t="shared" si="40" ref="AA63:AA71">IF(AD63=14,J63,0)</f>
        <v>4103.97</v>
      </c>
      <c r="AB63" s="3">
        <f aca="true" t="shared" si="41" ref="AB63:AB71">IF(AD63=20,J63,0)</f>
        <v>0</v>
      </c>
      <c r="AD63" s="11">
        <v>14</v>
      </c>
      <c r="AE63" s="11">
        <f>G63*0.0731182795698925</f>
        <v>10.311870967741939</v>
      </c>
      <c r="AF63" s="11">
        <f>G63*(1-0.0731182795698925)</f>
        <v>130.71812903225808</v>
      </c>
    </row>
    <row r="64" spans="1:32" ht="25.5">
      <c r="A64" s="27" t="s">
        <v>47</v>
      </c>
      <c r="B64" s="27"/>
      <c r="C64" s="27" t="s">
        <v>130</v>
      </c>
      <c r="D64" s="27" t="s">
        <v>227</v>
      </c>
      <c r="E64" s="27" t="s">
        <v>274</v>
      </c>
      <c r="F64" s="28">
        <v>8.5</v>
      </c>
      <c r="G64" s="29">
        <v>160.94</v>
      </c>
      <c r="H64" s="28">
        <f t="shared" si="34"/>
        <v>159.86</v>
      </c>
      <c r="I64" s="28">
        <f t="shared" si="35"/>
        <v>1208.13</v>
      </c>
      <c r="J64" s="28">
        <f t="shared" si="36"/>
        <v>1367.99</v>
      </c>
      <c r="K64" s="28">
        <v>0</v>
      </c>
      <c r="L64" s="28">
        <f t="shared" si="37"/>
        <v>0</v>
      </c>
      <c r="N64" s="9" t="s">
        <v>6</v>
      </c>
      <c r="O64" s="3">
        <f t="shared" si="38"/>
        <v>0</v>
      </c>
      <c r="Z64" s="3">
        <f t="shared" si="39"/>
        <v>0</v>
      </c>
      <c r="AA64" s="3">
        <f t="shared" si="40"/>
        <v>1367.99</v>
      </c>
      <c r="AB64" s="3">
        <f t="shared" si="41"/>
        <v>0</v>
      </c>
      <c r="AD64" s="11">
        <v>14</v>
      </c>
      <c r="AE64" s="11">
        <f>G64*0.116858237547893</f>
        <v>18.8071647509579</v>
      </c>
      <c r="AF64" s="11">
        <f>G64*(1-0.116858237547893)</f>
        <v>142.1328352490421</v>
      </c>
    </row>
    <row r="65" spans="1:32" ht="25.5">
      <c r="A65" s="27" t="s">
        <v>48</v>
      </c>
      <c r="B65" s="27"/>
      <c r="C65" s="27" t="s">
        <v>131</v>
      </c>
      <c r="D65" s="27" t="s">
        <v>228</v>
      </c>
      <c r="E65" s="27" t="s">
        <v>280</v>
      </c>
      <c r="F65" s="28">
        <v>3</v>
      </c>
      <c r="G65" s="29">
        <v>789.95</v>
      </c>
      <c r="H65" s="28">
        <f t="shared" si="34"/>
        <v>325.77</v>
      </c>
      <c r="I65" s="28">
        <f t="shared" si="35"/>
        <v>2044.08</v>
      </c>
      <c r="J65" s="28">
        <f t="shared" si="36"/>
        <v>2369.85</v>
      </c>
      <c r="K65" s="28">
        <v>0.03682</v>
      </c>
      <c r="L65" s="28">
        <f t="shared" si="37"/>
        <v>0.11046</v>
      </c>
      <c r="N65" s="9" t="s">
        <v>6</v>
      </c>
      <c r="O65" s="3">
        <f t="shared" si="38"/>
        <v>0</v>
      </c>
      <c r="Z65" s="3">
        <f t="shared" si="39"/>
        <v>0</v>
      </c>
      <c r="AA65" s="3">
        <f t="shared" si="40"/>
        <v>2369.85</v>
      </c>
      <c r="AB65" s="3">
        <f t="shared" si="41"/>
        <v>0</v>
      </c>
      <c r="AD65" s="11">
        <v>14</v>
      </c>
      <c r="AE65" s="11">
        <f>G65*0.137463516330785</f>
        <v>108.58930472550361</v>
      </c>
      <c r="AF65" s="11">
        <f>G65*(1-0.137463516330785)</f>
        <v>681.3606952744964</v>
      </c>
    </row>
    <row r="66" spans="1:32" ht="25.5">
      <c r="A66" s="27" t="s">
        <v>49</v>
      </c>
      <c r="B66" s="27"/>
      <c r="C66" s="27" t="s">
        <v>132</v>
      </c>
      <c r="D66" s="27" t="s">
        <v>229</v>
      </c>
      <c r="E66" s="27" t="s">
        <v>280</v>
      </c>
      <c r="F66" s="28">
        <v>1</v>
      </c>
      <c r="G66" s="29">
        <v>3713.77</v>
      </c>
      <c r="H66" s="28">
        <f t="shared" si="34"/>
        <v>1194.86</v>
      </c>
      <c r="I66" s="28">
        <f t="shared" si="35"/>
        <v>2518.91</v>
      </c>
      <c r="J66" s="28">
        <f t="shared" si="36"/>
        <v>3713.77</v>
      </c>
      <c r="K66" s="28">
        <v>2.15316</v>
      </c>
      <c r="L66" s="28">
        <f t="shared" si="37"/>
        <v>2.15316</v>
      </c>
      <c r="N66" s="9" t="s">
        <v>6</v>
      </c>
      <c r="O66" s="3">
        <f t="shared" si="38"/>
        <v>0</v>
      </c>
      <c r="Z66" s="3">
        <f t="shared" si="39"/>
        <v>0</v>
      </c>
      <c r="AA66" s="3">
        <f t="shared" si="40"/>
        <v>3713.77</v>
      </c>
      <c r="AB66" s="3">
        <f t="shared" si="41"/>
        <v>0</v>
      </c>
      <c r="AD66" s="11">
        <v>14</v>
      </c>
      <c r="AE66" s="11">
        <f>G66*0.321737403100775</f>
        <v>1194.8587155135651</v>
      </c>
      <c r="AF66" s="11">
        <f>G66*(1-0.321737403100775)</f>
        <v>2518.9112844864353</v>
      </c>
    </row>
    <row r="67" spans="1:32" ht="25.5">
      <c r="A67" s="27" t="s">
        <v>50</v>
      </c>
      <c r="B67" s="27"/>
      <c r="C67" s="27" t="s">
        <v>133</v>
      </c>
      <c r="D67" s="27" t="s">
        <v>230</v>
      </c>
      <c r="E67" s="27" t="s">
        <v>280</v>
      </c>
      <c r="F67" s="28">
        <v>1</v>
      </c>
      <c r="G67" s="29">
        <v>50306.19</v>
      </c>
      <c r="H67" s="28">
        <f t="shared" si="34"/>
        <v>39696.11</v>
      </c>
      <c r="I67" s="28">
        <f t="shared" si="35"/>
        <v>10610.080000000002</v>
      </c>
      <c r="J67" s="28">
        <f t="shared" si="36"/>
        <v>50306.19</v>
      </c>
      <c r="K67" s="28">
        <v>3.60051</v>
      </c>
      <c r="L67" s="28">
        <f t="shared" si="37"/>
        <v>3.60051</v>
      </c>
      <c r="N67" s="9" t="s">
        <v>8</v>
      </c>
      <c r="O67" s="3">
        <f t="shared" si="38"/>
        <v>0</v>
      </c>
      <c r="Z67" s="3">
        <f t="shared" si="39"/>
        <v>0</v>
      </c>
      <c r="AA67" s="3">
        <f t="shared" si="40"/>
        <v>50306.19</v>
      </c>
      <c r="AB67" s="3">
        <f t="shared" si="41"/>
        <v>0</v>
      </c>
      <c r="AD67" s="11">
        <v>14</v>
      </c>
      <c r="AE67" s="11">
        <f>G67*0.78908993327997</f>
        <v>39696.1081106695</v>
      </c>
      <c r="AF67" s="11">
        <f>G67*(1-0.78908993327997)</f>
        <v>10610.081889330506</v>
      </c>
    </row>
    <row r="68" spans="1:32" ht="25.5">
      <c r="A68" s="27" t="s">
        <v>51</v>
      </c>
      <c r="B68" s="27"/>
      <c r="C68" s="27" t="s">
        <v>134</v>
      </c>
      <c r="D68" s="27" t="s">
        <v>231</v>
      </c>
      <c r="E68" s="27" t="s">
        <v>280</v>
      </c>
      <c r="F68" s="28">
        <v>1</v>
      </c>
      <c r="G68" s="29">
        <v>28334.21</v>
      </c>
      <c r="H68" s="28">
        <f t="shared" si="34"/>
        <v>22212.67</v>
      </c>
      <c r="I68" s="28">
        <f t="shared" si="35"/>
        <v>6121.540000000001</v>
      </c>
      <c r="J68" s="28">
        <f t="shared" si="36"/>
        <v>28334.21</v>
      </c>
      <c r="K68" s="28">
        <v>4.89731</v>
      </c>
      <c r="L68" s="28">
        <f t="shared" si="37"/>
        <v>4.89731</v>
      </c>
      <c r="N68" s="9" t="s">
        <v>8</v>
      </c>
      <c r="O68" s="3">
        <f t="shared" si="38"/>
        <v>0</v>
      </c>
      <c r="Z68" s="3">
        <f t="shared" si="39"/>
        <v>0</v>
      </c>
      <c r="AA68" s="3">
        <f t="shared" si="40"/>
        <v>28334.21</v>
      </c>
      <c r="AB68" s="3">
        <f t="shared" si="41"/>
        <v>0</v>
      </c>
      <c r="AD68" s="11">
        <v>14</v>
      </c>
      <c r="AE68" s="11">
        <f>G68*0.78395247069115</f>
        <v>22212.67393458189</v>
      </c>
      <c r="AF68" s="11">
        <f>G68*(1-0.78395247069115)</f>
        <v>6121.5360654181095</v>
      </c>
    </row>
    <row r="69" spans="1:32" ht="25.5">
      <c r="A69" s="27" t="s">
        <v>52</v>
      </c>
      <c r="B69" s="27"/>
      <c r="C69" s="27" t="s">
        <v>135</v>
      </c>
      <c r="D69" s="27" t="s">
        <v>232</v>
      </c>
      <c r="E69" s="27" t="s">
        <v>280</v>
      </c>
      <c r="F69" s="28">
        <v>1</v>
      </c>
      <c r="G69" s="29">
        <v>1687.94</v>
      </c>
      <c r="H69" s="28">
        <f t="shared" si="34"/>
        <v>0</v>
      </c>
      <c r="I69" s="28">
        <f t="shared" si="35"/>
        <v>1687.94</v>
      </c>
      <c r="J69" s="28">
        <f t="shared" si="36"/>
        <v>1687.94</v>
      </c>
      <c r="K69" s="28">
        <v>0</v>
      </c>
      <c r="L69" s="28">
        <f t="shared" si="37"/>
        <v>0</v>
      </c>
      <c r="N69" s="9" t="s">
        <v>6</v>
      </c>
      <c r="O69" s="3">
        <f t="shared" si="38"/>
        <v>0</v>
      </c>
      <c r="Z69" s="3">
        <f t="shared" si="39"/>
        <v>0</v>
      </c>
      <c r="AA69" s="3">
        <f t="shared" si="40"/>
        <v>1687.94</v>
      </c>
      <c r="AB69" s="3">
        <f t="shared" si="41"/>
        <v>0</v>
      </c>
      <c r="AD69" s="11">
        <v>14</v>
      </c>
      <c r="AE69" s="11">
        <f>G69*0</f>
        <v>0</v>
      </c>
      <c r="AF69" s="11">
        <f>G69*(1-0)</f>
        <v>1687.94</v>
      </c>
    </row>
    <row r="70" spans="1:32" ht="25.5">
      <c r="A70" s="27" t="s">
        <v>53</v>
      </c>
      <c r="B70" s="27"/>
      <c r="C70" s="27" t="s">
        <v>136</v>
      </c>
      <c r="D70" s="27" t="s">
        <v>233</v>
      </c>
      <c r="E70" s="27" t="s">
        <v>280</v>
      </c>
      <c r="F70" s="28">
        <v>1</v>
      </c>
      <c r="G70" s="29">
        <v>201.32</v>
      </c>
      <c r="H70" s="28">
        <f t="shared" si="34"/>
        <v>6.27</v>
      </c>
      <c r="I70" s="28">
        <f t="shared" si="35"/>
        <v>195.04999999999998</v>
      </c>
      <c r="J70" s="28">
        <f t="shared" si="36"/>
        <v>201.32</v>
      </c>
      <c r="K70" s="28">
        <v>0.00468</v>
      </c>
      <c r="L70" s="28">
        <f t="shared" si="37"/>
        <v>0.00468</v>
      </c>
      <c r="N70" s="9" t="s">
        <v>6</v>
      </c>
      <c r="O70" s="3">
        <f t="shared" si="38"/>
        <v>0</v>
      </c>
      <c r="Z70" s="3">
        <f t="shared" si="39"/>
        <v>0</v>
      </c>
      <c r="AA70" s="3">
        <f t="shared" si="40"/>
        <v>201.32</v>
      </c>
      <c r="AB70" s="3">
        <f t="shared" si="41"/>
        <v>0</v>
      </c>
      <c r="AD70" s="11">
        <v>14</v>
      </c>
      <c r="AE70" s="11">
        <f>G70*0.031123595505618</f>
        <v>6.265802247191015</v>
      </c>
      <c r="AF70" s="11">
        <f>G70*(1-0.031123595505618)</f>
        <v>195.05419775280896</v>
      </c>
    </row>
    <row r="71" spans="1:32" ht="25.5">
      <c r="A71" s="27" t="s">
        <v>54</v>
      </c>
      <c r="B71" s="27"/>
      <c r="C71" s="27" t="s">
        <v>137</v>
      </c>
      <c r="D71" s="27" t="s">
        <v>234</v>
      </c>
      <c r="E71" s="27" t="s">
        <v>280</v>
      </c>
      <c r="F71" s="28">
        <v>8</v>
      </c>
      <c r="G71" s="29">
        <v>595.63</v>
      </c>
      <c r="H71" s="28">
        <f t="shared" si="34"/>
        <v>57.62</v>
      </c>
      <c r="I71" s="28">
        <f t="shared" si="35"/>
        <v>4707.42</v>
      </c>
      <c r="J71" s="28">
        <f t="shared" si="36"/>
        <v>4765.04</v>
      </c>
      <c r="K71" s="28">
        <v>0.00702</v>
      </c>
      <c r="L71" s="28">
        <f t="shared" si="37"/>
        <v>0.05616</v>
      </c>
      <c r="N71" s="9" t="s">
        <v>6</v>
      </c>
      <c r="O71" s="3">
        <f t="shared" si="38"/>
        <v>0</v>
      </c>
      <c r="Z71" s="3">
        <f t="shared" si="39"/>
        <v>0</v>
      </c>
      <c r="AA71" s="3">
        <f t="shared" si="40"/>
        <v>4765.04</v>
      </c>
      <c r="AB71" s="3">
        <f t="shared" si="41"/>
        <v>0</v>
      </c>
      <c r="AD71" s="11">
        <v>14</v>
      </c>
      <c r="AE71" s="11">
        <f>G71*0.012093023255814</f>
        <v>7.202967441860492</v>
      </c>
      <c r="AF71" s="11">
        <f>G71*(1-0.012093023255814)</f>
        <v>588.4270325581396</v>
      </c>
    </row>
    <row r="72" spans="1:37" ht="12.75">
      <c r="A72" s="30"/>
      <c r="B72" s="30"/>
      <c r="C72" s="31" t="s">
        <v>138</v>
      </c>
      <c r="D72" s="140" t="s">
        <v>235</v>
      </c>
      <c r="E72" s="141"/>
      <c r="F72" s="141"/>
      <c r="G72" s="141"/>
      <c r="H72" s="32">
        <f>SUM(H73:H73)</f>
        <v>146775.04</v>
      </c>
      <c r="I72" s="32">
        <f>SUM(I73:I73)</f>
        <v>11290.389999999985</v>
      </c>
      <c r="J72" s="32">
        <f>H72+I72</f>
        <v>158065.43</v>
      </c>
      <c r="K72" s="33"/>
      <c r="L72" s="32">
        <f>SUM(L73:L73)</f>
        <v>0.8553000000000001</v>
      </c>
      <c r="P72" s="12">
        <f>IF(Q72="PR",J72,SUM(O73:O73))</f>
        <v>0</v>
      </c>
      <c r="Q72" s="6" t="s">
        <v>298</v>
      </c>
      <c r="R72" s="12">
        <f>IF(Q72="HS",H72,0)</f>
        <v>146775.04</v>
      </c>
      <c r="S72" s="12">
        <f>IF(Q72="HS",I72-P72,0)</f>
        <v>11290.389999999985</v>
      </c>
      <c r="T72" s="12">
        <f>IF(Q72="PS",H72,0)</f>
        <v>0</v>
      </c>
      <c r="U72" s="12">
        <f>IF(Q72="PS",I72-P72,0)</f>
        <v>0</v>
      </c>
      <c r="V72" s="12">
        <f>IF(Q72="MP",H72,0)</f>
        <v>0</v>
      </c>
      <c r="W72" s="12">
        <f>IF(Q72="MP",I72-P72,0)</f>
        <v>0</v>
      </c>
      <c r="X72" s="12">
        <f>IF(Q72="OM",H72,0)</f>
        <v>0</v>
      </c>
      <c r="Y72" s="6"/>
      <c r="AI72" s="12">
        <f>SUM(Z73:Z73)</f>
        <v>0</v>
      </c>
      <c r="AJ72" s="12">
        <f>SUM(AA73:AA73)</f>
        <v>158065.43</v>
      </c>
      <c r="AK72" s="12">
        <f>SUM(AB73:AB73)</f>
        <v>0</v>
      </c>
    </row>
    <row r="73" spans="1:32" ht="25.5">
      <c r="A73" s="27" t="s">
        <v>55</v>
      </c>
      <c r="B73" s="27"/>
      <c r="C73" s="27" t="s">
        <v>139</v>
      </c>
      <c r="D73" s="27" t="s">
        <v>236</v>
      </c>
      <c r="E73" s="27" t="s">
        <v>278</v>
      </c>
      <c r="F73" s="28">
        <v>28.51</v>
      </c>
      <c r="G73" s="29">
        <v>5544.21</v>
      </c>
      <c r="H73" s="28">
        <f>ROUND(F73*AE73,2)</f>
        <v>146775.04</v>
      </c>
      <c r="I73" s="28">
        <f>J73-H73</f>
        <v>11290.389999999985</v>
      </c>
      <c r="J73" s="28">
        <f>ROUND(F73*G73,2)</f>
        <v>158065.43</v>
      </c>
      <c r="K73" s="28">
        <v>0.03</v>
      </c>
      <c r="L73" s="28">
        <f>F73*K73</f>
        <v>0.8553000000000001</v>
      </c>
      <c r="N73" s="9" t="s">
        <v>6</v>
      </c>
      <c r="O73" s="3">
        <f>IF(N73="5",I73,0)</f>
        <v>0</v>
      </c>
      <c r="Z73" s="3">
        <f>IF(AD73=0,J73,0)</f>
        <v>0</v>
      </c>
      <c r="AA73" s="3">
        <f>IF(AD73=14,J73,0)</f>
        <v>158065.43</v>
      </c>
      <c r="AB73" s="3">
        <f>IF(AD73=20,J73,0)</f>
        <v>0</v>
      </c>
      <c r="AD73" s="11">
        <v>14</v>
      </c>
      <c r="AE73" s="11">
        <f>G73*0.928571428571429</f>
        <v>5148.195000000002</v>
      </c>
      <c r="AF73" s="11">
        <f>G73*(1-0.928571428571429)</f>
        <v>396.01499999999737</v>
      </c>
    </row>
    <row r="74" spans="1:37" ht="12.75">
      <c r="A74" s="30"/>
      <c r="B74" s="30"/>
      <c r="C74" s="31" t="s">
        <v>140</v>
      </c>
      <c r="D74" s="140" t="s">
        <v>237</v>
      </c>
      <c r="E74" s="141"/>
      <c r="F74" s="141"/>
      <c r="G74" s="141"/>
      <c r="H74" s="32">
        <f>SUM(H75:H75)</f>
        <v>0</v>
      </c>
      <c r="I74" s="32">
        <f>SUM(I75:I75)</f>
        <v>663.04</v>
      </c>
      <c r="J74" s="32">
        <f>H74+I74</f>
        <v>663.04</v>
      </c>
      <c r="K74" s="33"/>
      <c r="L74" s="32">
        <f>SUM(L75:L75)</f>
        <v>0</v>
      </c>
      <c r="P74" s="12">
        <f>IF(Q74="PR",J74,SUM(O75:O75))</f>
        <v>0</v>
      </c>
      <c r="Q74" s="6" t="s">
        <v>298</v>
      </c>
      <c r="R74" s="12">
        <f>IF(Q74="HS",H74,0)</f>
        <v>0</v>
      </c>
      <c r="S74" s="12">
        <f>IF(Q74="HS",I74-P74,0)</f>
        <v>663.04</v>
      </c>
      <c r="T74" s="12">
        <f>IF(Q74="PS",H74,0)</f>
        <v>0</v>
      </c>
      <c r="U74" s="12">
        <f>IF(Q74="PS",I74-P74,0)</f>
        <v>0</v>
      </c>
      <c r="V74" s="12">
        <f>IF(Q74="MP",H74,0)</f>
        <v>0</v>
      </c>
      <c r="W74" s="12">
        <f>IF(Q74="MP",I74-P74,0)</f>
        <v>0</v>
      </c>
      <c r="X74" s="12">
        <f>IF(Q74="OM",H74,0)</f>
        <v>0</v>
      </c>
      <c r="Y74" s="6"/>
      <c r="AI74" s="12">
        <f>SUM(Z75:Z75)</f>
        <v>0</v>
      </c>
      <c r="AJ74" s="12">
        <f>SUM(AA75:AA75)</f>
        <v>663.04</v>
      </c>
      <c r="AK74" s="12">
        <f>SUM(AB75:AB75)</f>
        <v>0</v>
      </c>
    </row>
    <row r="75" spans="1:32" ht="25.5">
      <c r="A75" s="27" t="s">
        <v>56</v>
      </c>
      <c r="B75" s="27"/>
      <c r="C75" s="27" t="s">
        <v>141</v>
      </c>
      <c r="D75" s="27" t="s">
        <v>238</v>
      </c>
      <c r="E75" s="27" t="s">
        <v>274</v>
      </c>
      <c r="F75" s="28">
        <v>14.8</v>
      </c>
      <c r="G75" s="29">
        <v>44.8</v>
      </c>
      <c r="H75" s="28">
        <f>ROUND(F75*AE75,2)</f>
        <v>0</v>
      </c>
      <c r="I75" s="28">
        <f>J75-H75</f>
        <v>663.04</v>
      </c>
      <c r="J75" s="28">
        <f>ROUND(F75*G75,2)</f>
        <v>663.04</v>
      </c>
      <c r="K75" s="28">
        <v>0</v>
      </c>
      <c r="L75" s="28">
        <f>F75*K75</f>
        <v>0</v>
      </c>
      <c r="N75" s="9" t="s">
        <v>6</v>
      </c>
      <c r="O75" s="3">
        <f>IF(N75="5",I75,0)</f>
        <v>0</v>
      </c>
      <c r="Z75" s="3">
        <f>IF(AD75=0,J75,0)</f>
        <v>0</v>
      </c>
      <c r="AA75" s="3">
        <f>IF(AD75=14,J75,0)</f>
        <v>663.04</v>
      </c>
      <c r="AB75" s="3">
        <f>IF(AD75=20,J75,0)</f>
        <v>0</v>
      </c>
      <c r="AD75" s="11">
        <v>14</v>
      </c>
      <c r="AE75" s="11">
        <f>G75*0</f>
        <v>0</v>
      </c>
      <c r="AF75" s="11">
        <f>G75*(1-0)</f>
        <v>44.8</v>
      </c>
    </row>
    <row r="76" spans="1:37" ht="12.75">
      <c r="A76" s="30"/>
      <c r="B76" s="30"/>
      <c r="C76" s="31" t="s">
        <v>142</v>
      </c>
      <c r="D76" s="140" t="s">
        <v>239</v>
      </c>
      <c r="E76" s="141"/>
      <c r="F76" s="141"/>
      <c r="G76" s="141"/>
      <c r="H76" s="32">
        <f>SUM(H77:H77)</f>
        <v>0</v>
      </c>
      <c r="I76" s="32">
        <f>SUM(I77:I77)</f>
        <v>23995.06</v>
      </c>
      <c r="J76" s="32">
        <f>H76+I76</f>
        <v>23995.06</v>
      </c>
      <c r="K76" s="33"/>
      <c r="L76" s="32">
        <f>SUM(L77:L77)</f>
        <v>0</v>
      </c>
      <c r="P76" s="12">
        <f>IF(Q76="PR",J76,SUM(O77:O77))</f>
        <v>23995.06</v>
      </c>
      <c r="Q76" s="6" t="s">
        <v>299</v>
      </c>
      <c r="R76" s="12">
        <f>IF(Q76="HS",H76,0)</f>
        <v>0</v>
      </c>
      <c r="S76" s="12">
        <f>IF(Q76="HS",I76-P76,0)</f>
        <v>0</v>
      </c>
      <c r="T76" s="12">
        <f>IF(Q76="PS",H76,0)</f>
        <v>0</v>
      </c>
      <c r="U76" s="12">
        <f>IF(Q76="PS",I76-P76,0)</f>
        <v>0</v>
      </c>
      <c r="V76" s="12">
        <f>IF(Q76="MP",H76,0)</f>
        <v>0</v>
      </c>
      <c r="W76" s="12">
        <f>IF(Q76="MP",I76-P76,0)</f>
        <v>0</v>
      </c>
      <c r="X76" s="12">
        <f>IF(Q76="OM",H76,0)</f>
        <v>0</v>
      </c>
      <c r="Y76" s="6"/>
      <c r="AI76" s="12">
        <f>SUM(Z77:Z77)</f>
        <v>0</v>
      </c>
      <c r="AJ76" s="12">
        <f>SUM(AA77:AA77)</f>
        <v>23995.06</v>
      </c>
      <c r="AK76" s="12">
        <f>SUM(AB77:AB77)</f>
        <v>0</v>
      </c>
    </row>
    <row r="77" spans="1:32" ht="25.5">
      <c r="A77" s="27" t="s">
        <v>57</v>
      </c>
      <c r="B77" s="27"/>
      <c r="C77" s="27" t="s">
        <v>143</v>
      </c>
      <c r="D77" s="27" t="s">
        <v>240</v>
      </c>
      <c r="E77" s="27" t="s">
        <v>279</v>
      </c>
      <c r="F77" s="28">
        <v>137.61</v>
      </c>
      <c r="G77" s="29">
        <v>174.37</v>
      </c>
      <c r="H77" s="28">
        <f>ROUND(F77*AE77,2)</f>
        <v>0</v>
      </c>
      <c r="I77" s="28">
        <f>J77-H77</f>
        <v>23995.06</v>
      </c>
      <c r="J77" s="28">
        <f>ROUND(F77*G77,2)</f>
        <v>23995.06</v>
      </c>
      <c r="K77" s="28">
        <v>0</v>
      </c>
      <c r="L77" s="28">
        <f>F77*K77</f>
        <v>0</v>
      </c>
      <c r="N77" s="9" t="s">
        <v>10</v>
      </c>
      <c r="O77" s="3">
        <f>IF(N77="5",I77,0)</f>
        <v>23995.06</v>
      </c>
      <c r="Z77" s="3">
        <f>IF(AD77=0,J77,0)</f>
        <v>0</v>
      </c>
      <c r="AA77" s="3">
        <f>IF(AD77=14,J77,0)</f>
        <v>23995.06</v>
      </c>
      <c r="AB77" s="3">
        <f>IF(AD77=20,J77,0)</f>
        <v>0</v>
      </c>
      <c r="AD77" s="11">
        <v>14</v>
      </c>
      <c r="AE77" s="11">
        <f>G77*0</f>
        <v>0</v>
      </c>
      <c r="AF77" s="11">
        <f>G77*(1-0)</f>
        <v>174.37</v>
      </c>
    </row>
    <row r="78" spans="1:37" ht="12.75">
      <c r="A78" s="30"/>
      <c r="B78" s="30"/>
      <c r="C78" s="31" t="s">
        <v>144</v>
      </c>
      <c r="D78" s="140" t="s">
        <v>241</v>
      </c>
      <c r="E78" s="141"/>
      <c r="F78" s="141"/>
      <c r="G78" s="141"/>
      <c r="H78" s="32">
        <f>SUM(H79:H80)</f>
        <v>0</v>
      </c>
      <c r="I78" s="32">
        <f>SUM(I79:I80)</f>
        <v>623.5</v>
      </c>
      <c r="J78" s="32">
        <f>H78+I78</f>
        <v>623.5</v>
      </c>
      <c r="K78" s="33"/>
      <c r="L78" s="32">
        <f>SUM(L79:L80)</f>
        <v>0</v>
      </c>
      <c r="P78" s="12">
        <f>IF(Q78="PR",J78,SUM(O79:O80))</f>
        <v>623.5</v>
      </c>
      <c r="Q78" s="6" t="s">
        <v>299</v>
      </c>
      <c r="R78" s="12">
        <f>IF(Q78="HS",H78,0)</f>
        <v>0</v>
      </c>
      <c r="S78" s="12">
        <f>IF(Q78="HS",I78-P78,0)</f>
        <v>0</v>
      </c>
      <c r="T78" s="12">
        <f>IF(Q78="PS",H78,0)</f>
        <v>0</v>
      </c>
      <c r="U78" s="12">
        <f>IF(Q78="PS",I78-P78,0)</f>
        <v>0</v>
      </c>
      <c r="V78" s="12">
        <f>IF(Q78="MP",H78,0)</f>
        <v>0</v>
      </c>
      <c r="W78" s="12">
        <f>IF(Q78="MP",I78-P78,0)</f>
        <v>0</v>
      </c>
      <c r="X78" s="12">
        <f>IF(Q78="OM",H78,0)</f>
        <v>0</v>
      </c>
      <c r="Y78" s="6"/>
      <c r="AI78" s="12">
        <f>SUM(Z79:Z80)</f>
        <v>0</v>
      </c>
      <c r="AJ78" s="12">
        <f>SUM(AA79:AA80)</f>
        <v>623.5</v>
      </c>
      <c r="AK78" s="12">
        <f>SUM(AB79:AB80)</f>
        <v>0</v>
      </c>
    </row>
    <row r="79" spans="1:32" ht="25.5">
      <c r="A79" s="27" t="s">
        <v>58</v>
      </c>
      <c r="B79" s="27"/>
      <c r="C79" s="27" t="s">
        <v>145</v>
      </c>
      <c r="D79" s="27" t="s">
        <v>242</v>
      </c>
      <c r="E79" s="27" t="s">
        <v>279</v>
      </c>
      <c r="F79" s="28">
        <v>8.19</v>
      </c>
      <c r="G79" s="29">
        <v>35.18</v>
      </c>
      <c r="H79" s="28">
        <f>ROUND(F79*AE79,2)</f>
        <v>0</v>
      </c>
      <c r="I79" s="28">
        <f>J79-H79</f>
        <v>288.12</v>
      </c>
      <c r="J79" s="28">
        <f>ROUND(F79*G79,2)</f>
        <v>288.12</v>
      </c>
      <c r="K79" s="28">
        <v>0</v>
      </c>
      <c r="L79" s="28">
        <f>F79*K79</f>
        <v>0</v>
      </c>
      <c r="N79" s="9" t="s">
        <v>10</v>
      </c>
      <c r="O79" s="3">
        <f>IF(N79="5",I79,0)</f>
        <v>288.12</v>
      </c>
      <c r="Z79" s="3">
        <f>IF(AD79=0,J79,0)</f>
        <v>0</v>
      </c>
      <c r="AA79" s="3">
        <f>IF(AD79=14,J79,0)</f>
        <v>288.12</v>
      </c>
      <c r="AB79" s="3">
        <f>IF(AD79=20,J79,0)</f>
        <v>0</v>
      </c>
      <c r="AD79" s="11">
        <v>14</v>
      </c>
      <c r="AE79" s="11">
        <f>G79*0</f>
        <v>0</v>
      </c>
      <c r="AF79" s="11">
        <f>G79*(1-0)</f>
        <v>35.18</v>
      </c>
    </row>
    <row r="80" spans="1:32" ht="25.5">
      <c r="A80" s="27" t="s">
        <v>59</v>
      </c>
      <c r="B80" s="27"/>
      <c r="C80" s="27" t="s">
        <v>146</v>
      </c>
      <c r="D80" s="27" t="s">
        <v>243</v>
      </c>
      <c r="E80" s="27" t="s">
        <v>279</v>
      </c>
      <c r="F80" s="28">
        <v>8.19</v>
      </c>
      <c r="G80" s="29">
        <v>40.95</v>
      </c>
      <c r="H80" s="28">
        <f>ROUND(F80*AE80,2)</f>
        <v>0</v>
      </c>
      <c r="I80" s="28">
        <f>J80-H80</f>
        <v>335.38</v>
      </c>
      <c r="J80" s="28">
        <f>ROUND(F80*G80,2)</f>
        <v>335.38</v>
      </c>
      <c r="K80" s="28">
        <v>0</v>
      </c>
      <c r="L80" s="28">
        <f>F80*K80</f>
        <v>0</v>
      </c>
      <c r="N80" s="9" t="s">
        <v>10</v>
      </c>
      <c r="O80" s="3">
        <f>IF(N80="5",I80,0)</f>
        <v>335.38</v>
      </c>
      <c r="Z80" s="3">
        <f>IF(AD80=0,J80,0)</f>
        <v>0</v>
      </c>
      <c r="AA80" s="3">
        <f>IF(AD80=14,J80,0)</f>
        <v>335.38</v>
      </c>
      <c r="AB80" s="3">
        <f>IF(AD80=20,J80,0)</f>
        <v>0</v>
      </c>
      <c r="AD80" s="11">
        <v>14</v>
      </c>
      <c r="AE80" s="11">
        <f>G80*0</f>
        <v>0</v>
      </c>
      <c r="AF80" s="11">
        <f>G80*(1-0)</f>
        <v>40.95</v>
      </c>
    </row>
    <row r="81" spans="1:37" ht="12.75">
      <c r="A81" s="30"/>
      <c r="B81" s="30"/>
      <c r="C81" s="31"/>
      <c r="D81" s="140" t="s">
        <v>244</v>
      </c>
      <c r="E81" s="141"/>
      <c r="F81" s="141"/>
      <c r="G81" s="141"/>
      <c r="H81" s="32">
        <f>SUM(H82:H105)</f>
        <v>96737.8</v>
      </c>
      <c r="I81" s="32">
        <f>SUM(I82:I105)</f>
        <v>0</v>
      </c>
      <c r="J81" s="32">
        <f>H81+I81</f>
        <v>96737.8</v>
      </c>
      <c r="K81" s="33"/>
      <c r="L81" s="32">
        <f>SUM(L82:L105)</f>
        <v>125.92943499999997</v>
      </c>
      <c r="P81" s="12">
        <f>IF(Q81="PR",J81,SUM(O82:O105))</f>
        <v>0</v>
      </c>
      <c r="Q81" s="6" t="s">
        <v>300</v>
      </c>
      <c r="R81" s="12">
        <f>IF(Q81="HS",H81,0)</f>
        <v>0</v>
      </c>
      <c r="S81" s="12">
        <f>IF(Q81="HS",I81-P81,0)</f>
        <v>0</v>
      </c>
      <c r="T81" s="12">
        <f>IF(Q81="PS",H81,0)</f>
        <v>0</v>
      </c>
      <c r="U81" s="12">
        <f>IF(Q81="PS",I81-P81,0)</f>
        <v>0</v>
      </c>
      <c r="V81" s="12">
        <f>IF(Q81="MP",H81,0)</f>
        <v>0</v>
      </c>
      <c r="W81" s="12">
        <f>IF(Q81="MP",I81-P81,0)</f>
        <v>0</v>
      </c>
      <c r="X81" s="12">
        <f>IF(Q81="OM",H81,0)</f>
        <v>96737.8</v>
      </c>
      <c r="Y81" s="6"/>
      <c r="AI81" s="12">
        <f>SUM(Z82:Z105)</f>
        <v>0</v>
      </c>
      <c r="AJ81" s="12">
        <f>SUM(AA82:AA105)</f>
        <v>96737.8</v>
      </c>
      <c r="AK81" s="12">
        <f>SUM(AB82:AB105)</f>
        <v>0</v>
      </c>
    </row>
    <row r="82" spans="1:32" ht="12.75">
      <c r="A82" s="34" t="s">
        <v>60</v>
      </c>
      <c r="B82" s="34"/>
      <c r="C82" s="34" t="s">
        <v>147</v>
      </c>
      <c r="D82" s="34" t="s">
        <v>245</v>
      </c>
      <c r="E82" s="34" t="s">
        <v>280</v>
      </c>
      <c r="F82" s="35">
        <v>13.1</v>
      </c>
      <c r="G82" s="29">
        <v>141.69</v>
      </c>
      <c r="H82" s="35">
        <f aca="true" t="shared" si="42" ref="H82:H105">ROUND(F82*AE82,2)</f>
        <v>1856.14</v>
      </c>
      <c r="I82" s="35">
        <f aca="true" t="shared" si="43" ref="I82:I105">J82-H82</f>
        <v>0</v>
      </c>
      <c r="J82" s="35">
        <f aca="true" t="shared" si="44" ref="J82:J105">ROUND(F82*G82,2)</f>
        <v>1856.14</v>
      </c>
      <c r="K82" s="35">
        <v>0.0026</v>
      </c>
      <c r="L82" s="35">
        <f aca="true" t="shared" si="45" ref="L82:L105">F82*K82</f>
        <v>0.03406</v>
      </c>
      <c r="N82" s="10" t="s">
        <v>86</v>
      </c>
      <c r="O82" s="4">
        <f aca="true" t="shared" si="46" ref="O82:O105">IF(N82="5",I82,0)</f>
        <v>0</v>
      </c>
      <c r="Z82" s="4">
        <f aca="true" t="shared" si="47" ref="Z82:Z105">IF(AD82=0,J82,0)</f>
        <v>0</v>
      </c>
      <c r="AA82" s="4">
        <f aca="true" t="shared" si="48" ref="AA82:AA105">IF(AD82=14,J82,0)</f>
        <v>1856.14</v>
      </c>
      <c r="AB82" s="4">
        <f aca="true" t="shared" si="49" ref="AB82:AB105">IF(AD82=20,J82,0)</f>
        <v>0</v>
      </c>
      <c r="AD82" s="11">
        <v>14</v>
      </c>
      <c r="AE82" s="11">
        <f aca="true" t="shared" si="50" ref="AE82:AE105">G82*1</f>
        <v>141.69</v>
      </c>
      <c r="AF82" s="11">
        <f aca="true" t="shared" si="51" ref="AF82:AF105">G82*(1-1)</f>
        <v>0</v>
      </c>
    </row>
    <row r="83" spans="1:32" ht="12.75">
      <c r="A83" s="34" t="s">
        <v>61</v>
      </c>
      <c r="B83" s="34"/>
      <c r="C83" s="34" t="s">
        <v>148</v>
      </c>
      <c r="D83" s="34" t="s">
        <v>246</v>
      </c>
      <c r="E83" s="34" t="s">
        <v>280</v>
      </c>
      <c r="F83" s="35">
        <v>16</v>
      </c>
      <c r="G83" s="29">
        <v>230.71</v>
      </c>
      <c r="H83" s="35">
        <f t="shared" si="42"/>
        <v>3691.36</v>
      </c>
      <c r="I83" s="35">
        <f t="shared" si="43"/>
        <v>0</v>
      </c>
      <c r="J83" s="35">
        <f t="shared" si="44"/>
        <v>3691.36</v>
      </c>
      <c r="K83" s="35">
        <v>0.0041</v>
      </c>
      <c r="L83" s="35">
        <f t="shared" si="45"/>
        <v>0.0656</v>
      </c>
      <c r="N83" s="10" t="s">
        <v>86</v>
      </c>
      <c r="O83" s="4">
        <f t="shared" si="46"/>
        <v>0</v>
      </c>
      <c r="Z83" s="4">
        <f t="shared" si="47"/>
        <v>0</v>
      </c>
      <c r="AA83" s="4">
        <f t="shared" si="48"/>
        <v>3691.36</v>
      </c>
      <c r="AB83" s="4">
        <f t="shared" si="49"/>
        <v>0</v>
      </c>
      <c r="AD83" s="11">
        <v>14</v>
      </c>
      <c r="AE83" s="11">
        <f t="shared" si="50"/>
        <v>230.71</v>
      </c>
      <c r="AF83" s="11">
        <f t="shared" si="51"/>
        <v>0</v>
      </c>
    </row>
    <row r="84" spans="1:32" ht="12.75">
      <c r="A84" s="34" t="s">
        <v>62</v>
      </c>
      <c r="B84" s="34"/>
      <c r="C84" s="34" t="s">
        <v>149</v>
      </c>
      <c r="D84" s="34" t="s">
        <v>247</v>
      </c>
      <c r="E84" s="34" t="s">
        <v>280</v>
      </c>
      <c r="F84" s="35">
        <v>8.5</v>
      </c>
      <c r="G84" s="29">
        <v>708.17</v>
      </c>
      <c r="H84" s="35">
        <f t="shared" si="42"/>
        <v>6019.45</v>
      </c>
      <c r="I84" s="35">
        <f t="shared" si="43"/>
        <v>0</v>
      </c>
      <c r="J84" s="35">
        <f t="shared" si="44"/>
        <v>6019.45</v>
      </c>
      <c r="K84" s="35">
        <v>0.01237</v>
      </c>
      <c r="L84" s="35">
        <f t="shared" si="45"/>
        <v>0.105145</v>
      </c>
      <c r="N84" s="10" t="s">
        <v>86</v>
      </c>
      <c r="O84" s="4">
        <f t="shared" si="46"/>
        <v>0</v>
      </c>
      <c r="Z84" s="4">
        <f t="shared" si="47"/>
        <v>0</v>
      </c>
      <c r="AA84" s="4">
        <f t="shared" si="48"/>
        <v>6019.45</v>
      </c>
      <c r="AB84" s="4">
        <f t="shared" si="49"/>
        <v>0</v>
      </c>
      <c r="AD84" s="11">
        <v>14</v>
      </c>
      <c r="AE84" s="11">
        <f t="shared" si="50"/>
        <v>708.17</v>
      </c>
      <c r="AF84" s="11">
        <f t="shared" si="51"/>
        <v>0</v>
      </c>
    </row>
    <row r="85" spans="1:32" ht="12.75">
      <c r="A85" s="34" t="s">
        <v>63</v>
      </c>
      <c r="B85" s="34"/>
      <c r="C85" s="34" t="s">
        <v>150</v>
      </c>
      <c r="D85" s="34" t="s">
        <v>248</v>
      </c>
      <c r="E85" s="34" t="s">
        <v>274</v>
      </c>
      <c r="F85" s="35">
        <v>1</v>
      </c>
      <c r="G85" s="29">
        <v>1854.4</v>
      </c>
      <c r="H85" s="35">
        <f t="shared" si="42"/>
        <v>1854.4</v>
      </c>
      <c r="I85" s="35">
        <f t="shared" si="43"/>
        <v>0</v>
      </c>
      <c r="J85" s="35">
        <f t="shared" si="44"/>
        <v>1854.4</v>
      </c>
      <c r="K85" s="35">
        <v>0.03581</v>
      </c>
      <c r="L85" s="35">
        <f t="shared" si="45"/>
        <v>0.03581</v>
      </c>
      <c r="N85" s="10" t="s">
        <v>86</v>
      </c>
      <c r="O85" s="4">
        <f t="shared" si="46"/>
        <v>0</v>
      </c>
      <c r="Z85" s="4">
        <f t="shared" si="47"/>
        <v>0</v>
      </c>
      <c r="AA85" s="4">
        <f t="shared" si="48"/>
        <v>1854.4</v>
      </c>
      <c r="AB85" s="4">
        <f t="shared" si="49"/>
        <v>0</v>
      </c>
      <c r="AD85" s="11">
        <v>14</v>
      </c>
      <c r="AE85" s="11">
        <f t="shared" si="50"/>
        <v>1854.4</v>
      </c>
      <c r="AF85" s="11">
        <f t="shared" si="51"/>
        <v>0</v>
      </c>
    </row>
    <row r="86" spans="1:32" ht="12.75">
      <c r="A86" s="34" t="s">
        <v>64</v>
      </c>
      <c r="B86" s="34"/>
      <c r="C86" s="34" t="s">
        <v>151</v>
      </c>
      <c r="D86" s="34" t="s">
        <v>249</v>
      </c>
      <c r="E86" s="34" t="s">
        <v>280</v>
      </c>
      <c r="F86" s="35">
        <v>4</v>
      </c>
      <c r="G86" s="29">
        <v>103.53</v>
      </c>
      <c r="H86" s="35">
        <f t="shared" si="42"/>
        <v>414.12</v>
      </c>
      <c r="I86" s="35">
        <f t="shared" si="43"/>
        <v>0</v>
      </c>
      <c r="J86" s="35">
        <f t="shared" si="44"/>
        <v>414.12</v>
      </c>
      <c r="K86" s="35">
        <v>0.00066</v>
      </c>
      <c r="L86" s="35">
        <f t="shared" si="45"/>
        <v>0.00264</v>
      </c>
      <c r="N86" s="10" t="s">
        <v>86</v>
      </c>
      <c r="O86" s="4">
        <f t="shared" si="46"/>
        <v>0</v>
      </c>
      <c r="Z86" s="4">
        <f t="shared" si="47"/>
        <v>0</v>
      </c>
      <c r="AA86" s="4">
        <f t="shared" si="48"/>
        <v>414.12</v>
      </c>
      <c r="AB86" s="4">
        <f t="shared" si="49"/>
        <v>0</v>
      </c>
      <c r="AD86" s="11">
        <v>14</v>
      </c>
      <c r="AE86" s="11">
        <f t="shared" si="50"/>
        <v>103.53</v>
      </c>
      <c r="AF86" s="11">
        <f t="shared" si="51"/>
        <v>0</v>
      </c>
    </row>
    <row r="87" spans="1:32" ht="12.75">
      <c r="A87" s="34" t="s">
        <v>65</v>
      </c>
      <c r="B87" s="34"/>
      <c r="C87" s="34" t="s">
        <v>152</v>
      </c>
      <c r="D87" s="34" t="s">
        <v>250</v>
      </c>
      <c r="E87" s="34" t="s">
        <v>280</v>
      </c>
      <c r="F87" s="35">
        <v>8</v>
      </c>
      <c r="G87" s="29">
        <v>217.41</v>
      </c>
      <c r="H87" s="35">
        <f t="shared" si="42"/>
        <v>1739.28</v>
      </c>
      <c r="I87" s="35">
        <f t="shared" si="43"/>
        <v>0</v>
      </c>
      <c r="J87" s="35">
        <f t="shared" si="44"/>
        <v>1739.28</v>
      </c>
      <c r="K87" s="35">
        <v>0.00127</v>
      </c>
      <c r="L87" s="35">
        <f t="shared" si="45"/>
        <v>0.01016</v>
      </c>
      <c r="N87" s="10" t="s">
        <v>86</v>
      </c>
      <c r="O87" s="4">
        <f t="shared" si="46"/>
        <v>0</v>
      </c>
      <c r="Z87" s="4">
        <f t="shared" si="47"/>
        <v>0</v>
      </c>
      <c r="AA87" s="4">
        <f t="shared" si="48"/>
        <v>1739.28</v>
      </c>
      <c r="AB87" s="4">
        <f t="shared" si="49"/>
        <v>0</v>
      </c>
      <c r="AD87" s="11">
        <v>14</v>
      </c>
      <c r="AE87" s="11">
        <f t="shared" si="50"/>
        <v>217.41</v>
      </c>
      <c r="AF87" s="11">
        <f t="shared" si="51"/>
        <v>0</v>
      </c>
    </row>
    <row r="88" spans="1:32" ht="12.75">
      <c r="A88" s="34" t="s">
        <v>66</v>
      </c>
      <c r="B88" s="34"/>
      <c r="C88" s="34" t="s">
        <v>153</v>
      </c>
      <c r="D88" s="34" t="s">
        <v>251</v>
      </c>
      <c r="E88" s="34" t="s">
        <v>280</v>
      </c>
      <c r="F88" s="35">
        <v>2</v>
      </c>
      <c r="G88" s="29">
        <v>136.72</v>
      </c>
      <c r="H88" s="35">
        <f t="shared" si="42"/>
        <v>273.44</v>
      </c>
      <c r="I88" s="35">
        <f t="shared" si="43"/>
        <v>0</v>
      </c>
      <c r="J88" s="35">
        <f t="shared" si="44"/>
        <v>273.44</v>
      </c>
      <c r="K88" s="35">
        <v>0.00079</v>
      </c>
      <c r="L88" s="35">
        <f t="shared" si="45"/>
        <v>0.00158</v>
      </c>
      <c r="N88" s="10" t="s">
        <v>86</v>
      </c>
      <c r="O88" s="4">
        <f t="shared" si="46"/>
        <v>0</v>
      </c>
      <c r="Z88" s="4">
        <f t="shared" si="47"/>
        <v>0</v>
      </c>
      <c r="AA88" s="4">
        <f t="shared" si="48"/>
        <v>273.44</v>
      </c>
      <c r="AB88" s="4">
        <f t="shared" si="49"/>
        <v>0</v>
      </c>
      <c r="AD88" s="11">
        <v>14</v>
      </c>
      <c r="AE88" s="11">
        <f t="shared" si="50"/>
        <v>136.72</v>
      </c>
      <c r="AF88" s="11">
        <f t="shared" si="51"/>
        <v>0</v>
      </c>
    </row>
    <row r="89" spans="1:32" ht="12.75">
      <c r="A89" s="34" t="s">
        <v>67</v>
      </c>
      <c r="B89" s="34"/>
      <c r="C89" s="34" t="s">
        <v>154</v>
      </c>
      <c r="D89" s="34" t="s">
        <v>252</v>
      </c>
      <c r="E89" s="34" t="s">
        <v>280</v>
      </c>
      <c r="F89" s="35">
        <v>1</v>
      </c>
      <c r="G89" s="29">
        <v>464.87</v>
      </c>
      <c r="H89" s="35">
        <f t="shared" si="42"/>
        <v>464.87</v>
      </c>
      <c r="I89" s="35">
        <f t="shared" si="43"/>
        <v>0</v>
      </c>
      <c r="J89" s="35">
        <f t="shared" si="44"/>
        <v>464.87</v>
      </c>
      <c r="K89" s="35">
        <v>0.00165</v>
      </c>
      <c r="L89" s="35">
        <f t="shared" si="45"/>
        <v>0.00165</v>
      </c>
      <c r="N89" s="10" t="s">
        <v>86</v>
      </c>
      <c r="O89" s="4">
        <f t="shared" si="46"/>
        <v>0</v>
      </c>
      <c r="Z89" s="4">
        <f t="shared" si="47"/>
        <v>0</v>
      </c>
      <c r="AA89" s="4">
        <f t="shared" si="48"/>
        <v>464.87</v>
      </c>
      <c r="AB89" s="4">
        <f t="shared" si="49"/>
        <v>0</v>
      </c>
      <c r="AD89" s="11">
        <v>14</v>
      </c>
      <c r="AE89" s="11">
        <f t="shared" si="50"/>
        <v>464.87</v>
      </c>
      <c r="AF89" s="11">
        <f t="shared" si="51"/>
        <v>0</v>
      </c>
    </row>
    <row r="90" spans="1:32" ht="12.75">
      <c r="A90" s="34" t="s">
        <v>68</v>
      </c>
      <c r="B90" s="34"/>
      <c r="C90" s="34" t="s">
        <v>155</v>
      </c>
      <c r="D90" s="34" t="s">
        <v>253</v>
      </c>
      <c r="E90" s="34" t="s">
        <v>280</v>
      </c>
      <c r="F90" s="35">
        <v>1</v>
      </c>
      <c r="G90" s="29">
        <v>976.33</v>
      </c>
      <c r="H90" s="35">
        <f t="shared" si="42"/>
        <v>976.33</v>
      </c>
      <c r="I90" s="35">
        <f t="shared" si="43"/>
        <v>0</v>
      </c>
      <c r="J90" s="35">
        <f t="shared" si="44"/>
        <v>976.33</v>
      </c>
      <c r="K90" s="35">
        <v>0.00305</v>
      </c>
      <c r="L90" s="35">
        <f t="shared" si="45"/>
        <v>0.00305</v>
      </c>
      <c r="N90" s="10" t="s">
        <v>86</v>
      </c>
      <c r="O90" s="4">
        <f t="shared" si="46"/>
        <v>0</v>
      </c>
      <c r="Z90" s="4">
        <f t="shared" si="47"/>
        <v>0</v>
      </c>
      <c r="AA90" s="4">
        <f t="shared" si="48"/>
        <v>976.33</v>
      </c>
      <c r="AB90" s="4">
        <f t="shared" si="49"/>
        <v>0</v>
      </c>
      <c r="AD90" s="11">
        <v>14</v>
      </c>
      <c r="AE90" s="11">
        <f t="shared" si="50"/>
        <v>976.33</v>
      </c>
      <c r="AF90" s="11">
        <f t="shared" si="51"/>
        <v>0</v>
      </c>
    </row>
    <row r="91" spans="1:32" ht="12.75">
      <c r="A91" s="34" t="s">
        <v>69</v>
      </c>
      <c r="B91" s="34"/>
      <c r="C91" s="34" t="s">
        <v>156</v>
      </c>
      <c r="D91" s="34" t="s">
        <v>254</v>
      </c>
      <c r="E91" s="34" t="s">
        <v>280</v>
      </c>
      <c r="F91" s="35">
        <v>1</v>
      </c>
      <c r="G91" s="29">
        <v>356.16</v>
      </c>
      <c r="H91" s="35">
        <f t="shared" si="42"/>
        <v>356.16</v>
      </c>
      <c r="I91" s="35">
        <f t="shared" si="43"/>
        <v>0</v>
      </c>
      <c r="J91" s="35">
        <f t="shared" si="44"/>
        <v>356.16</v>
      </c>
      <c r="K91" s="35">
        <v>0.00207</v>
      </c>
      <c r="L91" s="35">
        <f t="shared" si="45"/>
        <v>0.00207</v>
      </c>
      <c r="N91" s="10" t="s">
        <v>86</v>
      </c>
      <c r="O91" s="4">
        <f t="shared" si="46"/>
        <v>0</v>
      </c>
      <c r="Z91" s="4">
        <f t="shared" si="47"/>
        <v>0</v>
      </c>
      <c r="AA91" s="4">
        <f t="shared" si="48"/>
        <v>356.16</v>
      </c>
      <c r="AB91" s="4">
        <f t="shared" si="49"/>
        <v>0</v>
      </c>
      <c r="AD91" s="11">
        <v>14</v>
      </c>
      <c r="AE91" s="11">
        <f t="shared" si="50"/>
        <v>356.16</v>
      </c>
      <c r="AF91" s="11">
        <f t="shared" si="51"/>
        <v>0</v>
      </c>
    </row>
    <row r="92" spans="1:32" ht="12.75">
      <c r="A92" s="34" t="s">
        <v>70</v>
      </c>
      <c r="B92" s="34"/>
      <c r="C92" s="34" t="s">
        <v>157</v>
      </c>
      <c r="D92" s="34" t="s">
        <v>255</v>
      </c>
      <c r="E92" s="34" t="s">
        <v>280</v>
      </c>
      <c r="F92" s="35">
        <v>1</v>
      </c>
      <c r="G92" s="29">
        <v>2040.15</v>
      </c>
      <c r="H92" s="35">
        <f t="shared" si="42"/>
        <v>2040.15</v>
      </c>
      <c r="I92" s="35">
        <f t="shared" si="43"/>
        <v>0</v>
      </c>
      <c r="J92" s="35">
        <f t="shared" si="44"/>
        <v>2040.15</v>
      </c>
      <c r="K92" s="35">
        <v>0.00717</v>
      </c>
      <c r="L92" s="35">
        <f t="shared" si="45"/>
        <v>0.00717</v>
      </c>
      <c r="N92" s="10" t="s">
        <v>86</v>
      </c>
      <c r="O92" s="4">
        <f t="shared" si="46"/>
        <v>0</v>
      </c>
      <c r="Z92" s="4">
        <f t="shared" si="47"/>
        <v>0</v>
      </c>
      <c r="AA92" s="4">
        <f t="shared" si="48"/>
        <v>2040.15</v>
      </c>
      <c r="AB92" s="4">
        <f t="shared" si="49"/>
        <v>0</v>
      </c>
      <c r="AD92" s="11">
        <v>14</v>
      </c>
      <c r="AE92" s="11">
        <f t="shared" si="50"/>
        <v>2040.15</v>
      </c>
      <c r="AF92" s="11">
        <f t="shared" si="51"/>
        <v>0</v>
      </c>
    </row>
    <row r="93" spans="1:32" ht="12.75">
      <c r="A93" s="34" t="s">
        <v>71</v>
      </c>
      <c r="B93" s="34"/>
      <c r="C93" s="34" t="s">
        <v>158</v>
      </c>
      <c r="D93" s="34" t="s">
        <v>256</v>
      </c>
      <c r="E93" s="34" t="s">
        <v>280</v>
      </c>
      <c r="F93" s="35">
        <v>1</v>
      </c>
      <c r="G93" s="29">
        <v>1204</v>
      </c>
      <c r="H93" s="35">
        <f t="shared" si="42"/>
        <v>1204</v>
      </c>
      <c r="I93" s="35">
        <f t="shared" si="43"/>
        <v>0</v>
      </c>
      <c r="J93" s="35">
        <f t="shared" si="44"/>
        <v>1204</v>
      </c>
      <c r="K93" s="35">
        <v>0.011</v>
      </c>
      <c r="L93" s="35">
        <f t="shared" si="45"/>
        <v>0.011</v>
      </c>
      <c r="N93" s="10" t="s">
        <v>86</v>
      </c>
      <c r="O93" s="4">
        <f t="shared" si="46"/>
        <v>0</v>
      </c>
      <c r="Z93" s="4">
        <f t="shared" si="47"/>
        <v>0</v>
      </c>
      <c r="AA93" s="4">
        <f t="shared" si="48"/>
        <v>1204</v>
      </c>
      <c r="AB93" s="4">
        <f t="shared" si="49"/>
        <v>0</v>
      </c>
      <c r="AD93" s="11">
        <v>14</v>
      </c>
      <c r="AE93" s="11">
        <f t="shared" si="50"/>
        <v>1204</v>
      </c>
      <c r="AF93" s="11">
        <f t="shared" si="51"/>
        <v>0</v>
      </c>
    </row>
    <row r="94" spans="1:32" ht="12.75">
      <c r="A94" s="34" t="s">
        <v>72</v>
      </c>
      <c r="B94" s="34"/>
      <c r="C94" s="34" t="s">
        <v>159</v>
      </c>
      <c r="D94" s="34" t="s">
        <v>257</v>
      </c>
      <c r="E94" s="34" t="s">
        <v>280</v>
      </c>
      <c r="F94" s="35">
        <v>1</v>
      </c>
      <c r="G94" s="29">
        <v>1277</v>
      </c>
      <c r="H94" s="35">
        <f t="shared" si="42"/>
        <v>1277</v>
      </c>
      <c r="I94" s="35">
        <f t="shared" si="43"/>
        <v>0</v>
      </c>
      <c r="J94" s="35">
        <f t="shared" si="44"/>
        <v>1277</v>
      </c>
      <c r="K94" s="35">
        <v>0.0055</v>
      </c>
      <c r="L94" s="35">
        <f t="shared" si="45"/>
        <v>0.0055</v>
      </c>
      <c r="N94" s="10" t="s">
        <v>86</v>
      </c>
      <c r="O94" s="4">
        <f t="shared" si="46"/>
        <v>0</v>
      </c>
      <c r="Z94" s="4">
        <f t="shared" si="47"/>
        <v>0</v>
      </c>
      <c r="AA94" s="4">
        <f t="shared" si="48"/>
        <v>1277</v>
      </c>
      <c r="AB94" s="4">
        <f t="shared" si="49"/>
        <v>0</v>
      </c>
      <c r="AD94" s="11">
        <v>14</v>
      </c>
      <c r="AE94" s="11">
        <f t="shared" si="50"/>
        <v>1277</v>
      </c>
      <c r="AF94" s="11">
        <f t="shared" si="51"/>
        <v>0</v>
      </c>
    </row>
    <row r="95" spans="1:32" ht="12.75">
      <c r="A95" s="34" t="s">
        <v>73</v>
      </c>
      <c r="B95" s="34"/>
      <c r="C95" s="34" t="s">
        <v>160</v>
      </c>
      <c r="D95" s="34" t="s">
        <v>258</v>
      </c>
      <c r="E95" s="34" t="s">
        <v>280</v>
      </c>
      <c r="F95" s="35">
        <v>1</v>
      </c>
      <c r="G95" s="29">
        <v>3050</v>
      </c>
      <c r="H95" s="35">
        <f t="shared" si="42"/>
        <v>3050</v>
      </c>
      <c r="I95" s="35">
        <f t="shared" si="43"/>
        <v>0</v>
      </c>
      <c r="J95" s="35">
        <f t="shared" si="44"/>
        <v>3050</v>
      </c>
      <c r="K95" s="35">
        <v>0.055</v>
      </c>
      <c r="L95" s="35">
        <f t="shared" si="45"/>
        <v>0.055</v>
      </c>
      <c r="N95" s="10" t="s">
        <v>86</v>
      </c>
      <c r="O95" s="4">
        <f t="shared" si="46"/>
        <v>0</v>
      </c>
      <c r="Z95" s="4">
        <f t="shared" si="47"/>
        <v>0</v>
      </c>
      <c r="AA95" s="4">
        <f t="shared" si="48"/>
        <v>3050</v>
      </c>
      <c r="AB95" s="4">
        <f t="shared" si="49"/>
        <v>0</v>
      </c>
      <c r="AD95" s="11">
        <v>14</v>
      </c>
      <c r="AE95" s="11">
        <f t="shared" si="50"/>
        <v>3050</v>
      </c>
      <c r="AF95" s="11">
        <f t="shared" si="51"/>
        <v>0</v>
      </c>
    </row>
    <row r="96" spans="1:32" ht="12.75">
      <c r="A96" s="34" t="s">
        <v>74</v>
      </c>
      <c r="B96" s="34"/>
      <c r="C96" s="34" t="s">
        <v>161</v>
      </c>
      <c r="D96" s="34" t="s">
        <v>259</v>
      </c>
      <c r="E96" s="34" t="s">
        <v>280</v>
      </c>
      <c r="F96" s="35">
        <v>3</v>
      </c>
      <c r="G96" s="29">
        <v>3933</v>
      </c>
      <c r="H96" s="35">
        <f t="shared" si="42"/>
        <v>11799</v>
      </c>
      <c r="I96" s="35">
        <f t="shared" si="43"/>
        <v>0</v>
      </c>
      <c r="J96" s="35">
        <f t="shared" si="44"/>
        <v>11799</v>
      </c>
      <c r="K96" s="35">
        <v>0.162</v>
      </c>
      <c r="L96" s="35">
        <f t="shared" si="45"/>
        <v>0.486</v>
      </c>
      <c r="N96" s="10" t="s">
        <v>86</v>
      </c>
      <c r="O96" s="4">
        <f t="shared" si="46"/>
        <v>0</v>
      </c>
      <c r="Z96" s="4">
        <f t="shared" si="47"/>
        <v>0</v>
      </c>
      <c r="AA96" s="4">
        <f t="shared" si="48"/>
        <v>11799</v>
      </c>
      <c r="AB96" s="4">
        <f t="shared" si="49"/>
        <v>0</v>
      </c>
      <c r="AD96" s="11">
        <v>14</v>
      </c>
      <c r="AE96" s="11">
        <f t="shared" si="50"/>
        <v>3933</v>
      </c>
      <c r="AF96" s="11">
        <f t="shared" si="51"/>
        <v>0</v>
      </c>
    </row>
    <row r="97" spans="1:32" ht="12.75">
      <c r="A97" s="34" t="s">
        <v>75</v>
      </c>
      <c r="B97" s="34"/>
      <c r="C97" s="34" t="s">
        <v>162</v>
      </c>
      <c r="D97" s="34" t="s">
        <v>260</v>
      </c>
      <c r="E97" s="34" t="s">
        <v>281</v>
      </c>
      <c r="F97" s="35">
        <v>118.69</v>
      </c>
      <c r="G97" s="29">
        <v>259</v>
      </c>
      <c r="H97" s="35">
        <f t="shared" si="42"/>
        <v>30740.71</v>
      </c>
      <c r="I97" s="35">
        <f t="shared" si="43"/>
        <v>0</v>
      </c>
      <c r="J97" s="35">
        <f t="shared" si="44"/>
        <v>30740.71</v>
      </c>
      <c r="K97" s="35">
        <v>1</v>
      </c>
      <c r="L97" s="35">
        <f t="shared" si="45"/>
        <v>118.69</v>
      </c>
      <c r="N97" s="10" t="s">
        <v>86</v>
      </c>
      <c r="O97" s="4">
        <f t="shared" si="46"/>
        <v>0</v>
      </c>
      <c r="Z97" s="4">
        <f t="shared" si="47"/>
        <v>0</v>
      </c>
      <c r="AA97" s="4">
        <f t="shared" si="48"/>
        <v>30740.71</v>
      </c>
      <c r="AB97" s="4">
        <f t="shared" si="49"/>
        <v>0</v>
      </c>
      <c r="AD97" s="11">
        <v>14</v>
      </c>
      <c r="AE97" s="11">
        <f t="shared" si="50"/>
        <v>259</v>
      </c>
      <c r="AF97" s="11">
        <f t="shared" si="51"/>
        <v>0</v>
      </c>
    </row>
    <row r="98" spans="1:32" ht="12.75">
      <c r="A98" s="34" t="s">
        <v>76</v>
      </c>
      <c r="B98" s="34"/>
      <c r="C98" s="34" t="s">
        <v>163</v>
      </c>
      <c r="D98" s="34" t="s">
        <v>261</v>
      </c>
      <c r="E98" s="34" t="s">
        <v>280</v>
      </c>
      <c r="F98" s="35">
        <v>1</v>
      </c>
      <c r="G98" s="29">
        <v>1297.85</v>
      </c>
      <c r="H98" s="35">
        <f t="shared" si="42"/>
        <v>1297.85</v>
      </c>
      <c r="I98" s="35">
        <f t="shared" si="43"/>
        <v>0</v>
      </c>
      <c r="J98" s="35">
        <f t="shared" si="44"/>
        <v>1297.85</v>
      </c>
      <c r="K98" s="35">
        <v>0.25</v>
      </c>
      <c r="L98" s="35">
        <f t="shared" si="45"/>
        <v>0.25</v>
      </c>
      <c r="N98" s="10" t="s">
        <v>86</v>
      </c>
      <c r="O98" s="4">
        <f t="shared" si="46"/>
        <v>0</v>
      </c>
      <c r="Z98" s="4">
        <f t="shared" si="47"/>
        <v>0</v>
      </c>
      <c r="AA98" s="4">
        <f t="shared" si="48"/>
        <v>1297.85</v>
      </c>
      <c r="AB98" s="4">
        <f t="shared" si="49"/>
        <v>0</v>
      </c>
      <c r="AD98" s="11">
        <v>14</v>
      </c>
      <c r="AE98" s="11">
        <f t="shared" si="50"/>
        <v>1297.85</v>
      </c>
      <c r="AF98" s="11">
        <f t="shared" si="51"/>
        <v>0</v>
      </c>
    </row>
    <row r="99" spans="1:32" ht="12.75">
      <c r="A99" s="34" t="s">
        <v>77</v>
      </c>
      <c r="B99" s="34"/>
      <c r="C99" s="34" t="s">
        <v>164</v>
      </c>
      <c r="D99" s="34" t="s">
        <v>262</v>
      </c>
      <c r="E99" s="34" t="s">
        <v>280</v>
      </c>
      <c r="F99" s="35">
        <v>1</v>
      </c>
      <c r="G99" s="29">
        <v>1884</v>
      </c>
      <c r="H99" s="35">
        <f t="shared" si="42"/>
        <v>1884</v>
      </c>
      <c r="I99" s="35">
        <f t="shared" si="43"/>
        <v>0</v>
      </c>
      <c r="J99" s="35">
        <f t="shared" si="44"/>
        <v>1884</v>
      </c>
      <c r="K99" s="35">
        <v>0.52</v>
      </c>
      <c r="L99" s="35">
        <f t="shared" si="45"/>
        <v>0.52</v>
      </c>
      <c r="N99" s="10" t="s">
        <v>86</v>
      </c>
      <c r="O99" s="4">
        <f t="shared" si="46"/>
        <v>0</v>
      </c>
      <c r="Z99" s="4">
        <f t="shared" si="47"/>
        <v>0</v>
      </c>
      <c r="AA99" s="4">
        <f t="shared" si="48"/>
        <v>1884</v>
      </c>
      <c r="AB99" s="4">
        <f t="shared" si="49"/>
        <v>0</v>
      </c>
      <c r="AD99" s="11">
        <v>14</v>
      </c>
      <c r="AE99" s="11">
        <f t="shared" si="50"/>
        <v>1884</v>
      </c>
      <c r="AF99" s="11">
        <f t="shared" si="51"/>
        <v>0</v>
      </c>
    </row>
    <row r="100" spans="1:32" ht="12.75">
      <c r="A100" s="34" t="s">
        <v>78</v>
      </c>
      <c r="B100" s="34"/>
      <c r="C100" s="34" t="s">
        <v>165</v>
      </c>
      <c r="D100" s="34" t="s">
        <v>263</v>
      </c>
      <c r="E100" s="34" t="s">
        <v>280</v>
      </c>
      <c r="F100" s="35">
        <v>1</v>
      </c>
      <c r="G100" s="29">
        <v>3226</v>
      </c>
      <c r="H100" s="35">
        <f t="shared" si="42"/>
        <v>3226</v>
      </c>
      <c r="I100" s="35">
        <f t="shared" si="43"/>
        <v>0</v>
      </c>
      <c r="J100" s="35">
        <f t="shared" si="44"/>
        <v>3226</v>
      </c>
      <c r="K100" s="35">
        <v>1.035</v>
      </c>
      <c r="L100" s="35">
        <f t="shared" si="45"/>
        <v>1.035</v>
      </c>
      <c r="N100" s="10" t="s">
        <v>86</v>
      </c>
      <c r="O100" s="4">
        <f t="shared" si="46"/>
        <v>0</v>
      </c>
      <c r="Z100" s="4">
        <f t="shared" si="47"/>
        <v>0</v>
      </c>
      <c r="AA100" s="4">
        <f t="shared" si="48"/>
        <v>3226</v>
      </c>
      <c r="AB100" s="4">
        <f t="shared" si="49"/>
        <v>0</v>
      </c>
      <c r="AD100" s="11">
        <v>14</v>
      </c>
      <c r="AE100" s="11">
        <f t="shared" si="50"/>
        <v>3226</v>
      </c>
      <c r="AF100" s="11">
        <f t="shared" si="51"/>
        <v>0</v>
      </c>
    </row>
    <row r="101" spans="1:32" ht="12.75">
      <c r="A101" s="34" t="s">
        <v>79</v>
      </c>
      <c r="B101" s="34"/>
      <c r="C101" s="34" t="s">
        <v>166</v>
      </c>
      <c r="D101" s="34" t="s">
        <v>264</v>
      </c>
      <c r="E101" s="34" t="s">
        <v>280</v>
      </c>
      <c r="F101" s="35">
        <v>5</v>
      </c>
      <c r="G101" s="29">
        <v>230.28</v>
      </c>
      <c r="H101" s="35">
        <f t="shared" si="42"/>
        <v>1151.4</v>
      </c>
      <c r="I101" s="35">
        <f t="shared" si="43"/>
        <v>0</v>
      </c>
      <c r="J101" s="35">
        <f t="shared" si="44"/>
        <v>1151.4</v>
      </c>
      <c r="K101" s="35">
        <v>0.051</v>
      </c>
      <c r="L101" s="35">
        <f t="shared" si="45"/>
        <v>0.255</v>
      </c>
      <c r="N101" s="10" t="s">
        <v>86</v>
      </c>
      <c r="O101" s="4">
        <f t="shared" si="46"/>
        <v>0</v>
      </c>
      <c r="Z101" s="4">
        <f t="shared" si="47"/>
        <v>0</v>
      </c>
      <c r="AA101" s="4">
        <f t="shared" si="48"/>
        <v>1151.4</v>
      </c>
      <c r="AB101" s="4">
        <f t="shared" si="49"/>
        <v>0</v>
      </c>
      <c r="AD101" s="11">
        <v>14</v>
      </c>
      <c r="AE101" s="11">
        <f t="shared" si="50"/>
        <v>230.28</v>
      </c>
      <c r="AF101" s="11">
        <f t="shared" si="51"/>
        <v>0</v>
      </c>
    </row>
    <row r="102" spans="1:32" ht="12.75">
      <c r="A102" s="34" t="s">
        <v>80</v>
      </c>
      <c r="B102" s="34"/>
      <c r="C102" s="34" t="s">
        <v>167</v>
      </c>
      <c r="D102" s="34" t="s">
        <v>265</v>
      </c>
      <c r="E102" s="34" t="s">
        <v>280</v>
      </c>
      <c r="F102" s="35">
        <v>1</v>
      </c>
      <c r="G102" s="29">
        <v>263.61</v>
      </c>
      <c r="H102" s="35">
        <f t="shared" si="42"/>
        <v>263.61</v>
      </c>
      <c r="I102" s="35">
        <f t="shared" si="43"/>
        <v>0</v>
      </c>
      <c r="J102" s="35">
        <f t="shared" si="44"/>
        <v>263.61</v>
      </c>
      <c r="K102" s="35">
        <v>0.068</v>
      </c>
      <c r="L102" s="35">
        <f t="shared" si="45"/>
        <v>0.068</v>
      </c>
      <c r="N102" s="10" t="s">
        <v>86</v>
      </c>
      <c r="O102" s="4">
        <f t="shared" si="46"/>
        <v>0</v>
      </c>
      <c r="Z102" s="4">
        <f t="shared" si="47"/>
        <v>0</v>
      </c>
      <c r="AA102" s="4">
        <f t="shared" si="48"/>
        <v>263.61</v>
      </c>
      <c r="AB102" s="4">
        <f t="shared" si="49"/>
        <v>0</v>
      </c>
      <c r="AD102" s="11">
        <v>14</v>
      </c>
      <c r="AE102" s="11">
        <f t="shared" si="50"/>
        <v>263.61</v>
      </c>
      <c r="AF102" s="11">
        <f t="shared" si="51"/>
        <v>0</v>
      </c>
    </row>
    <row r="103" spans="1:32" ht="12.75">
      <c r="A103" s="34" t="s">
        <v>81</v>
      </c>
      <c r="B103" s="34"/>
      <c r="C103" s="34" t="s">
        <v>168</v>
      </c>
      <c r="D103" s="34" t="s">
        <v>266</v>
      </c>
      <c r="E103" s="34" t="s">
        <v>280</v>
      </c>
      <c r="F103" s="35">
        <v>1</v>
      </c>
      <c r="G103" s="29">
        <v>2319</v>
      </c>
      <c r="H103" s="35">
        <f t="shared" si="42"/>
        <v>2319</v>
      </c>
      <c r="I103" s="35">
        <f t="shared" si="43"/>
        <v>0</v>
      </c>
      <c r="J103" s="35">
        <f t="shared" si="44"/>
        <v>2319</v>
      </c>
      <c r="K103" s="35">
        <v>0.585</v>
      </c>
      <c r="L103" s="35">
        <f t="shared" si="45"/>
        <v>0.585</v>
      </c>
      <c r="N103" s="10" t="s">
        <v>86</v>
      </c>
      <c r="O103" s="4">
        <f t="shared" si="46"/>
        <v>0</v>
      </c>
      <c r="Z103" s="4">
        <f t="shared" si="47"/>
        <v>0</v>
      </c>
      <c r="AA103" s="4">
        <f t="shared" si="48"/>
        <v>2319</v>
      </c>
      <c r="AB103" s="4">
        <f t="shared" si="49"/>
        <v>0</v>
      </c>
      <c r="AD103" s="11">
        <v>14</v>
      </c>
      <c r="AE103" s="11">
        <f t="shared" si="50"/>
        <v>2319</v>
      </c>
      <c r="AF103" s="11">
        <f t="shared" si="51"/>
        <v>0</v>
      </c>
    </row>
    <row r="104" spans="1:32" ht="12.75">
      <c r="A104" s="34" t="s">
        <v>82</v>
      </c>
      <c r="B104" s="34"/>
      <c r="C104" s="34" t="s">
        <v>169</v>
      </c>
      <c r="D104" s="34" t="s">
        <v>267</v>
      </c>
      <c r="E104" s="34" t="s">
        <v>280</v>
      </c>
      <c r="F104" s="35">
        <v>1</v>
      </c>
      <c r="G104" s="29">
        <v>8600.15</v>
      </c>
      <c r="H104" s="35">
        <f t="shared" si="42"/>
        <v>8600.15</v>
      </c>
      <c r="I104" s="35">
        <f t="shared" si="43"/>
        <v>0</v>
      </c>
      <c r="J104" s="35">
        <f t="shared" si="44"/>
        <v>8600.15</v>
      </c>
      <c r="K104" s="35">
        <v>1.6</v>
      </c>
      <c r="L104" s="35">
        <f t="shared" si="45"/>
        <v>1.6</v>
      </c>
      <c r="N104" s="10" t="s">
        <v>86</v>
      </c>
      <c r="O104" s="4">
        <f t="shared" si="46"/>
        <v>0</v>
      </c>
      <c r="Z104" s="4">
        <f t="shared" si="47"/>
        <v>0</v>
      </c>
      <c r="AA104" s="4">
        <f t="shared" si="48"/>
        <v>8600.15</v>
      </c>
      <c r="AB104" s="4">
        <f t="shared" si="49"/>
        <v>0</v>
      </c>
      <c r="AD104" s="11">
        <v>14</v>
      </c>
      <c r="AE104" s="11">
        <f t="shared" si="50"/>
        <v>8600.15</v>
      </c>
      <c r="AF104" s="11">
        <f t="shared" si="51"/>
        <v>0</v>
      </c>
    </row>
    <row r="105" spans="1:32" ht="12.75">
      <c r="A105" s="36" t="s">
        <v>83</v>
      </c>
      <c r="B105" s="36"/>
      <c r="C105" s="36" t="s">
        <v>170</v>
      </c>
      <c r="D105" s="36" t="s">
        <v>268</v>
      </c>
      <c r="E105" s="36" t="s">
        <v>280</v>
      </c>
      <c r="F105" s="37">
        <v>1</v>
      </c>
      <c r="G105" s="29">
        <v>10239.38</v>
      </c>
      <c r="H105" s="37">
        <f t="shared" si="42"/>
        <v>10239.38</v>
      </c>
      <c r="I105" s="37">
        <f t="shared" si="43"/>
        <v>0</v>
      </c>
      <c r="J105" s="37">
        <f t="shared" si="44"/>
        <v>10239.38</v>
      </c>
      <c r="K105" s="37">
        <v>2.1</v>
      </c>
      <c r="L105" s="37">
        <f t="shared" si="45"/>
        <v>2.1</v>
      </c>
      <c r="N105" s="10" t="s">
        <v>86</v>
      </c>
      <c r="O105" s="4">
        <f t="shared" si="46"/>
        <v>0</v>
      </c>
      <c r="Z105" s="4">
        <f t="shared" si="47"/>
        <v>0</v>
      </c>
      <c r="AA105" s="4">
        <f t="shared" si="48"/>
        <v>10239.38</v>
      </c>
      <c r="AB105" s="4">
        <f t="shared" si="49"/>
        <v>0</v>
      </c>
      <c r="AD105" s="11">
        <v>14</v>
      </c>
      <c r="AE105" s="11">
        <f t="shared" si="50"/>
        <v>10239.38</v>
      </c>
      <c r="AF105" s="11">
        <f t="shared" si="51"/>
        <v>0</v>
      </c>
    </row>
    <row r="106" spans="1:28" ht="12.75">
      <c r="A106" s="38"/>
      <c r="B106" s="38"/>
      <c r="C106" s="38"/>
      <c r="D106" s="38"/>
      <c r="E106" s="38"/>
      <c r="F106" s="38"/>
      <c r="G106" s="38"/>
      <c r="H106" s="127" t="s">
        <v>287</v>
      </c>
      <c r="I106" s="142"/>
      <c r="J106" s="39">
        <f>J12+J14+J22+J29+J34+J41+J44+J48+J51+J53+J62+J72+J74+J76+J78+J81</f>
        <v>635990.5200000001</v>
      </c>
      <c r="K106" s="38"/>
      <c r="L106" s="38"/>
      <c r="Z106" s="13">
        <f>SUM(Z13:Z105)</f>
        <v>0</v>
      </c>
      <c r="AA106" s="13">
        <f>SUM(AA13:AA105)</f>
        <v>635990.5199999999</v>
      </c>
      <c r="AB106" s="13">
        <f>SUM(AB13:AB105)</f>
        <v>0</v>
      </c>
    </row>
  </sheetData>
  <sheetProtection/>
  <mergeCells count="44">
    <mergeCell ref="H106:I106"/>
    <mergeCell ref="D62:G62"/>
    <mergeCell ref="D72:G72"/>
    <mergeCell ref="D74:G74"/>
    <mergeCell ref="D76:G76"/>
    <mergeCell ref="D78:G78"/>
    <mergeCell ref="D81:G81"/>
    <mergeCell ref="D34:G34"/>
    <mergeCell ref="D41:G41"/>
    <mergeCell ref="D44:G44"/>
    <mergeCell ref="D48:G48"/>
    <mergeCell ref="D51:G51"/>
    <mergeCell ref="D53:G53"/>
    <mergeCell ref="H10:J10"/>
    <mergeCell ref="K10:L10"/>
    <mergeCell ref="D12:G12"/>
    <mergeCell ref="D14:G14"/>
    <mergeCell ref="D22:G22"/>
    <mergeCell ref="D29:G29"/>
    <mergeCell ref="I2:I3"/>
    <mergeCell ref="I4:I5"/>
    <mergeCell ref="I6:I7"/>
    <mergeCell ref="I8:I9"/>
    <mergeCell ref="J2:L3"/>
    <mergeCell ref="J4:L5"/>
    <mergeCell ref="J6:L7"/>
    <mergeCell ref="J8:L9"/>
    <mergeCell ref="E4:F5"/>
    <mergeCell ref="E6:F7"/>
    <mergeCell ref="E8:F9"/>
    <mergeCell ref="G2:H3"/>
    <mergeCell ref="G4:H5"/>
    <mergeCell ref="G6:H7"/>
    <mergeCell ref="G8:H9"/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2" width="9.140625" style="0" customWidth="1"/>
    <col min="3" max="3" width="13.28125" style="0" customWidth="1"/>
    <col min="4" max="4" width="48.7109375" style="0" customWidth="1"/>
    <col min="5" max="5" width="9.8515625" style="0" customWidth="1"/>
    <col min="6" max="6" width="30.57421875" style="0" customWidth="1"/>
    <col min="7" max="7" width="10.8515625" style="0" customWidth="1"/>
  </cols>
  <sheetData>
    <row r="1" spans="1:7" ht="21.75" customHeight="1">
      <c r="A1" s="118" t="s">
        <v>428</v>
      </c>
      <c r="B1" s="119"/>
      <c r="C1" s="119"/>
      <c r="D1" s="119"/>
      <c r="E1" s="119"/>
      <c r="F1" s="119"/>
      <c r="G1" s="119"/>
    </row>
    <row r="2" spans="1:7" ht="12.75">
      <c r="A2" s="120" t="s">
        <v>0</v>
      </c>
      <c r="B2" s="121"/>
      <c r="C2" s="127" t="s">
        <v>171</v>
      </c>
      <c r="D2" s="142"/>
      <c r="E2" s="130" t="s">
        <v>288</v>
      </c>
      <c r="F2" s="130" t="s">
        <v>422</v>
      </c>
      <c r="G2" s="132"/>
    </row>
    <row r="3" spans="1:7" ht="12.75">
      <c r="A3" s="122"/>
      <c r="B3" s="123"/>
      <c r="C3" s="128"/>
      <c r="D3" s="128"/>
      <c r="E3" s="123"/>
      <c r="F3" s="123"/>
      <c r="G3" s="133"/>
    </row>
    <row r="4" spans="1:7" ht="12.75">
      <c r="A4" s="124" t="s">
        <v>1</v>
      </c>
      <c r="B4" s="123"/>
      <c r="C4" s="129" t="s">
        <v>172</v>
      </c>
      <c r="D4" s="123"/>
      <c r="E4" s="129" t="s">
        <v>289</v>
      </c>
      <c r="F4" s="129" t="s">
        <v>293</v>
      </c>
      <c r="G4" s="133"/>
    </row>
    <row r="5" spans="1:7" ht="12.75">
      <c r="A5" s="122"/>
      <c r="B5" s="123"/>
      <c r="C5" s="123"/>
      <c r="D5" s="123"/>
      <c r="E5" s="123"/>
      <c r="F5" s="123"/>
      <c r="G5" s="133"/>
    </row>
    <row r="6" spans="1:7" ht="12.75">
      <c r="A6" s="124" t="s">
        <v>2</v>
      </c>
      <c r="B6" s="123"/>
      <c r="C6" s="129" t="s">
        <v>173</v>
      </c>
      <c r="D6" s="123"/>
      <c r="E6" s="129" t="s">
        <v>290</v>
      </c>
      <c r="F6" s="129" t="s">
        <v>4</v>
      </c>
      <c r="G6" s="133"/>
    </row>
    <row r="7" spans="1:7" ht="12.75">
      <c r="A7" s="122"/>
      <c r="B7" s="123"/>
      <c r="C7" s="123"/>
      <c r="D7" s="123"/>
      <c r="E7" s="123"/>
      <c r="F7" s="123"/>
      <c r="G7" s="133"/>
    </row>
    <row r="8" spans="1:7" ht="12.75">
      <c r="A8" s="124" t="s">
        <v>291</v>
      </c>
      <c r="B8" s="123"/>
      <c r="C8" s="129"/>
      <c r="D8" s="123"/>
      <c r="E8" s="129" t="s">
        <v>272</v>
      </c>
      <c r="F8" s="131" t="s">
        <v>4</v>
      </c>
      <c r="G8" s="133"/>
    </row>
    <row r="9" spans="1:7" ht="12.75">
      <c r="A9" s="125"/>
      <c r="B9" s="126"/>
      <c r="C9" s="126"/>
      <c r="D9" s="126"/>
      <c r="E9" s="126"/>
      <c r="F9" s="126"/>
      <c r="G9" s="134"/>
    </row>
    <row r="10" spans="1:8" ht="12.75">
      <c r="A10" s="52" t="s">
        <v>5</v>
      </c>
      <c r="B10" s="53" t="s">
        <v>84</v>
      </c>
      <c r="C10" s="53" t="s">
        <v>85</v>
      </c>
      <c r="D10" s="53" t="s">
        <v>174</v>
      </c>
      <c r="E10" s="53" t="s">
        <v>273</v>
      </c>
      <c r="F10" s="53" t="s">
        <v>313</v>
      </c>
      <c r="G10" s="54" t="s">
        <v>282</v>
      </c>
      <c r="H10" s="8"/>
    </row>
    <row r="11" spans="1:7" ht="25.5">
      <c r="A11" s="55" t="s">
        <v>6</v>
      </c>
      <c r="B11" s="55"/>
      <c r="C11" s="55" t="s">
        <v>87</v>
      </c>
      <c r="D11" s="55" t="s">
        <v>176</v>
      </c>
      <c r="E11" s="55" t="s">
        <v>274</v>
      </c>
      <c r="F11" s="55" t="s">
        <v>314</v>
      </c>
      <c r="G11" s="56">
        <v>57.23</v>
      </c>
    </row>
    <row r="12" spans="1:7" ht="25.5">
      <c r="A12" s="27" t="s">
        <v>7</v>
      </c>
      <c r="B12" s="27"/>
      <c r="C12" s="27" t="s">
        <v>88</v>
      </c>
      <c r="D12" s="27" t="s">
        <v>178</v>
      </c>
      <c r="E12" s="27" t="s">
        <v>275</v>
      </c>
      <c r="F12" s="27" t="s">
        <v>315</v>
      </c>
      <c r="G12" s="28">
        <v>11.1</v>
      </c>
    </row>
    <row r="13" spans="1:7" ht="25.5">
      <c r="A13" s="27" t="s">
        <v>8</v>
      </c>
      <c r="B13" s="27"/>
      <c r="C13" s="27" t="s">
        <v>89</v>
      </c>
      <c r="D13" s="27" t="s">
        <v>179</v>
      </c>
      <c r="E13" s="27" t="s">
        <v>275</v>
      </c>
      <c r="F13" s="27" t="s">
        <v>316</v>
      </c>
      <c r="G13" s="28">
        <v>11.1</v>
      </c>
    </row>
    <row r="14" spans="1:7" ht="25.5">
      <c r="A14" s="27" t="s">
        <v>9</v>
      </c>
      <c r="B14" s="27"/>
      <c r="C14" s="27" t="s">
        <v>90</v>
      </c>
      <c r="D14" s="27" t="s">
        <v>180</v>
      </c>
      <c r="E14" s="27" t="s">
        <v>275</v>
      </c>
      <c r="F14" s="27" t="s">
        <v>315</v>
      </c>
      <c r="G14" s="28">
        <v>11.1</v>
      </c>
    </row>
    <row r="15" spans="1:7" ht="25.5">
      <c r="A15" s="27" t="s">
        <v>10</v>
      </c>
      <c r="B15" s="27"/>
      <c r="C15" s="27" t="s">
        <v>91</v>
      </c>
      <c r="D15" s="27" t="s">
        <v>181</v>
      </c>
      <c r="E15" s="27" t="s">
        <v>276</v>
      </c>
      <c r="F15" s="27"/>
      <c r="G15" s="28">
        <v>80</v>
      </c>
    </row>
    <row r="16" spans="1:7" ht="25.5">
      <c r="A16" s="27" t="s">
        <v>11</v>
      </c>
      <c r="B16" s="27"/>
      <c r="C16" s="27" t="s">
        <v>92</v>
      </c>
      <c r="D16" s="27" t="s">
        <v>182</v>
      </c>
      <c r="E16" s="27" t="s">
        <v>277</v>
      </c>
      <c r="F16" s="27"/>
      <c r="G16" s="28">
        <v>10</v>
      </c>
    </row>
    <row r="17" spans="1:7" ht="25.5">
      <c r="A17" s="27" t="s">
        <v>12</v>
      </c>
      <c r="B17" s="27"/>
      <c r="C17" s="27" t="s">
        <v>93</v>
      </c>
      <c r="D17" s="27" t="s">
        <v>183</v>
      </c>
      <c r="E17" s="27" t="s">
        <v>274</v>
      </c>
      <c r="F17" s="27" t="s">
        <v>317</v>
      </c>
      <c r="G17" s="28">
        <v>1.5</v>
      </c>
    </row>
    <row r="18" spans="1:7" ht="25.5">
      <c r="A18" s="27" t="s">
        <v>13</v>
      </c>
      <c r="B18" s="27"/>
      <c r="C18" s="27" t="s">
        <v>94</v>
      </c>
      <c r="D18" s="27" t="s">
        <v>184</v>
      </c>
      <c r="E18" s="27" t="s">
        <v>274</v>
      </c>
      <c r="F18" s="27" t="s">
        <v>318</v>
      </c>
      <c r="G18" s="28">
        <v>2</v>
      </c>
    </row>
    <row r="19" spans="1:7" ht="25.5">
      <c r="A19" s="27" t="s">
        <v>14</v>
      </c>
      <c r="B19" s="27"/>
      <c r="C19" s="27" t="s">
        <v>95</v>
      </c>
      <c r="D19" s="27" t="s">
        <v>186</v>
      </c>
      <c r="E19" s="27" t="s">
        <v>278</v>
      </c>
      <c r="F19" s="27" t="s">
        <v>319</v>
      </c>
      <c r="G19" s="28">
        <v>7.77</v>
      </c>
    </row>
    <row r="20" spans="1:7" ht="25.5">
      <c r="A20" s="27" t="s">
        <v>15</v>
      </c>
      <c r="B20" s="27"/>
      <c r="C20" s="27" t="s">
        <v>96</v>
      </c>
      <c r="D20" s="27" t="s">
        <v>187</v>
      </c>
      <c r="E20" s="27" t="s">
        <v>278</v>
      </c>
      <c r="F20" s="27" t="s">
        <v>320</v>
      </c>
      <c r="G20" s="28">
        <v>0.04</v>
      </c>
    </row>
    <row r="21" spans="1:7" ht="25.5">
      <c r="A21" s="27" t="s">
        <v>16</v>
      </c>
      <c r="B21" s="27"/>
      <c r="C21" s="27" t="s">
        <v>97</v>
      </c>
      <c r="D21" s="27" t="s">
        <v>188</v>
      </c>
      <c r="E21" s="27" t="s">
        <v>278</v>
      </c>
      <c r="F21" s="27" t="s">
        <v>321</v>
      </c>
      <c r="G21" s="28">
        <v>156.55</v>
      </c>
    </row>
    <row r="22" spans="1:7" ht="25.5">
      <c r="A22" s="27" t="s">
        <v>17</v>
      </c>
      <c r="B22" s="27"/>
      <c r="C22" s="27" t="s">
        <v>98</v>
      </c>
      <c r="D22" s="27" t="s">
        <v>189</v>
      </c>
      <c r="E22" s="27" t="s">
        <v>278</v>
      </c>
      <c r="F22" s="27" t="s">
        <v>322</v>
      </c>
      <c r="G22" s="28">
        <v>104.36</v>
      </c>
    </row>
    <row r="23" spans="1:7" ht="25.5">
      <c r="A23" s="27" t="s">
        <v>18</v>
      </c>
      <c r="B23" s="27"/>
      <c r="C23" s="27" t="s">
        <v>99</v>
      </c>
      <c r="D23" s="27" t="s">
        <v>190</v>
      </c>
      <c r="E23" s="27" t="s">
        <v>278</v>
      </c>
      <c r="F23" s="27" t="s">
        <v>323</v>
      </c>
      <c r="G23" s="28">
        <v>89.37</v>
      </c>
    </row>
    <row r="24" spans="1:7" ht="12.75">
      <c r="A24" s="27"/>
      <c r="B24" s="27"/>
      <c r="C24" s="27"/>
      <c r="D24" s="27"/>
      <c r="E24" s="27"/>
      <c r="F24" s="27" t="s">
        <v>324</v>
      </c>
      <c r="G24" s="28">
        <v>0</v>
      </c>
    </row>
    <row r="25" spans="1:7" ht="12.75">
      <c r="A25" s="27"/>
      <c r="B25" s="27"/>
      <c r="C25" s="27"/>
      <c r="D25" s="27"/>
      <c r="E25" s="27"/>
      <c r="F25" s="27" t="s">
        <v>325</v>
      </c>
      <c r="G25" s="28">
        <v>0</v>
      </c>
    </row>
    <row r="26" spans="1:7" ht="12.75">
      <c r="A26" s="27"/>
      <c r="B26" s="27"/>
      <c r="C26" s="27"/>
      <c r="D26" s="27"/>
      <c r="E26" s="27"/>
      <c r="F26" s="27" t="s">
        <v>326</v>
      </c>
      <c r="G26" s="28">
        <v>0</v>
      </c>
    </row>
    <row r="27" spans="1:7" ht="12.75">
      <c r="A27" s="27"/>
      <c r="B27" s="27"/>
      <c r="C27" s="27"/>
      <c r="D27" s="27"/>
      <c r="E27" s="27"/>
      <c r="F27" s="27" t="s">
        <v>327</v>
      </c>
      <c r="G27" s="28">
        <v>0</v>
      </c>
    </row>
    <row r="28" spans="1:7" ht="12.75">
      <c r="A28" s="27"/>
      <c r="B28" s="27"/>
      <c r="C28" s="27"/>
      <c r="D28" s="27"/>
      <c r="E28" s="27"/>
      <c r="F28" s="27" t="s">
        <v>328</v>
      </c>
      <c r="G28" s="28">
        <v>0</v>
      </c>
    </row>
    <row r="29" spans="1:7" ht="12.75">
      <c r="A29" s="27"/>
      <c r="B29" s="27"/>
      <c r="C29" s="27"/>
      <c r="D29" s="27"/>
      <c r="E29" s="27"/>
      <c r="F29" s="27" t="s">
        <v>329</v>
      </c>
      <c r="G29" s="28">
        <v>0</v>
      </c>
    </row>
    <row r="30" spans="1:7" ht="12.75">
      <c r="A30" s="27"/>
      <c r="B30" s="27"/>
      <c r="C30" s="27"/>
      <c r="D30" s="27"/>
      <c r="E30" s="27"/>
      <c r="F30" s="27" t="s">
        <v>330</v>
      </c>
      <c r="G30" s="28">
        <v>0</v>
      </c>
    </row>
    <row r="31" spans="1:7" ht="12.75">
      <c r="A31" s="27"/>
      <c r="B31" s="27"/>
      <c r="C31" s="27"/>
      <c r="D31" s="27"/>
      <c r="E31" s="27"/>
      <c r="F31" s="27" t="s">
        <v>331</v>
      </c>
      <c r="G31" s="28">
        <v>0</v>
      </c>
    </row>
    <row r="32" spans="1:7" ht="25.5">
      <c r="A32" s="27" t="s">
        <v>19</v>
      </c>
      <c r="B32" s="27"/>
      <c r="C32" s="27" t="s">
        <v>100</v>
      </c>
      <c r="D32" s="27" t="s">
        <v>191</v>
      </c>
      <c r="E32" s="27" t="s">
        <v>278</v>
      </c>
      <c r="F32" s="27" t="s">
        <v>332</v>
      </c>
      <c r="G32" s="28">
        <v>59.58</v>
      </c>
    </row>
    <row r="33" spans="1:7" ht="25.5">
      <c r="A33" s="27" t="s">
        <v>20</v>
      </c>
      <c r="B33" s="27"/>
      <c r="C33" s="27" t="s">
        <v>101</v>
      </c>
      <c r="D33" s="27" t="s">
        <v>193</v>
      </c>
      <c r="E33" s="27" t="s">
        <v>275</v>
      </c>
      <c r="F33" s="27" t="s">
        <v>333</v>
      </c>
      <c r="G33" s="28">
        <v>69.75</v>
      </c>
    </row>
    <row r="34" spans="1:7" ht="12.75">
      <c r="A34" s="27"/>
      <c r="B34" s="27"/>
      <c r="C34" s="27"/>
      <c r="D34" s="27"/>
      <c r="E34" s="27"/>
      <c r="F34" s="27" t="s">
        <v>334</v>
      </c>
      <c r="G34" s="28">
        <v>0</v>
      </c>
    </row>
    <row r="35" spans="1:7" ht="12.75">
      <c r="A35" s="27"/>
      <c r="B35" s="27"/>
      <c r="C35" s="27"/>
      <c r="D35" s="27"/>
      <c r="E35" s="27"/>
      <c r="F35" s="27" t="s">
        <v>335</v>
      </c>
      <c r="G35" s="28">
        <v>0</v>
      </c>
    </row>
    <row r="36" spans="1:7" ht="12.75">
      <c r="A36" s="27"/>
      <c r="B36" s="27"/>
      <c r="C36" s="27"/>
      <c r="D36" s="27"/>
      <c r="E36" s="27"/>
      <c r="F36" s="27" t="s">
        <v>336</v>
      </c>
      <c r="G36" s="28">
        <v>0</v>
      </c>
    </row>
    <row r="37" spans="1:7" ht="12.75">
      <c r="A37" s="27"/>
      <c r="B37" s="27"/>
      <c r="C37" s="27"/>
      <c r="D37" s="27"/>
      <c r="E37" s="27"/>
      <c r="F37" s="27" t="s">
        <v>337</v>
      </c>
      <c r="G37" s="28">
        <v>0</v>
      </c>
    </row>
    <row r="38" spans="1:7" ht="25.5">
      <c r="A38" s="27" t="s">
        <v>21</v>
      </c>
      <c r="B38" s="27"/>
      <c r="C38" s="27" t="s">
        <v>102</v>
      </c>
      <c r="D38" s="27" t="s">
        <v>194</v>
      </c>
      <c r="E38" s="27" t="s">
        <v>275</v>
      </c>
      <c r="F38" s="27" t="s">
        <v>338</v>
      </c>
      <c r="G38" s="28">
        <v>144.21</v>
      </c>
    </row>
    <row r="39" spans="1:7" ht="25.5">
      <c r="A39" s="27" t="s">
        <v>22</v>
      </c>
      <c r="B39" s="27"/>
      <c r="C39" s="27" t="s">
        <v>103</v>
      </c>
      <c r="D39" s="27" t="s">
        <v>195</v>
      </c>
      <c r="E39" s="27" t="s">
        <v>275</v>
      </c>
      <c r="F39" s="27"/>
      <c r="G39" s="28">
        <v>69.75</v>
      </c>
    </row>
    <row r="40" spans="1:7" ht="25.5">
      <c r="A40" s="27" t="s">
        <v>23</v>
      </c>
      <c r="B40" s="27"/>
      <c r="C40" s="27" t="s">
        <v>104</v>
      </c>
      <c r="D40" s="27" t="s">
        <v>196</v>
      </c>
      <c r="E40" s="27" t="s">
        <v>275</v>
      </c>
      <c r="F40" s="27"/>
      <c r="G40" s="28">
        <v>144.21</v>
      </c>
    </row>
    <row r="41" spans="1:7" ht="25.5">
      <c r="A41" s="27" t="s">
        <v>24</v>
      </c>
      <c r="B41" s="27"/>
      <c r="C41" s="27" t="s">
        <v>105</v>
      </c>
      <c r="D41" s="27" t="s">
        <v>198</v>
      </c>
      <c r="E41" s="27" t="s">
        <v>278</v>
      </c>
      <c r="F41" s="27" t="s">
        <v>339</v>
      </c>
      <c r="G41" s="28">
        <v>52.33</v>
      </c>
    </row>
    <row r="42" spans="1:7" ht="25.5">
      <c r="A42" s="27" t="s">
        <v>25</v>
      </c>
      <c r="B42" s="27"/>
      <c r="C42" s="27" t="s">
        <v>106</v>
      </c>
      <c r="D42" s="27" t="s">
        <v>199</v>
      </c>
      <c r="E42" s="27" t="s">
        <v>278</v>
      </c>
      <c r="F42" s="27" t="s">
        <v>340</v>
      </c>
      <c r="G42" s="28">
        <v>357.53</v>
      </c>
    </row>
    <row r="43" spans="1:7" ht="12.75">
      <c r="A43" s="27"/>
      <c r="B43" s="27"/>
      <c r="C43" s="27"/>
      <c r="D43" s="27"/>
      <c r="E43" s="27"/>
      <c r="F43" s="27" t="s">
        <v>341</v>
      </c>
      <c r="G43" s="28">
        <v>0</v>
      </c>
    </row>
    <row r="44" spans="1:7" ht="25.5">
      <c r="A44" s="27" t="s">
        <v>26</v>
      </c>
      <c r="B44" s="27"/>
      <c r="C44" s="27" t="s">
        <v>107</v>
      </c>
      <c r="D44" s="27" t="s">
        <v>200</v>
      </c>
      <c r="E44" s="27" t="s">
        <v>278</v>
      </c>
      <c r="F44" s="27" t="s">
        <v>342</v>
      </c>
      <c r="G44" s="28">
        <v>71.7</v>
      </c>
    </row>
    <row r="45" spans="1:7" ht="12.75">
      <c r="A45" s="27"/>
      <c r="B45" s="27"/>
      <c r="C45" s="27"/>
      <c r="D45" s="27"/>
      <c r="E45" s="27"/>
      <c r="F45" s="27" t="s">
        <v>343</v>
      </c>
      <c r="G45" s="28">
        <v>0</v>
      </c>
    </row>
    <row r="46" spans="1:7" ht="12.75">
      <c r="A46" s="27"/>
      <c r="B46" s="27"/>
      <c r="C46" s="27"/>
      <c r="D46" s="27"/>
      <c r="E46" s="27"/>
      <c r="F46" s="27" t="s">
        <v>344</v>
      </c>
      <c r="G46" s="28">
        <v>0</v>
      </c>
    </row>
    <row r="47" spans="1:7" ht="12.75">
      <c r="A47" s="27"/>
      <c r="B47" s="27"/>
      <c r="C47" s="27"/>
      <c r="D47" s="27"/>
      <c r="E47" s="27"/>
      <c r="F47" s="27" t="s">
        <v>345</v>
      </c>
      <c r="G47" s="28">
        <v>0</v>
      </c>
    </row>
    <row r="48" spans="1:7" ht="25.5">
      <c r="A48" s="27" t="s">
        <v>27</v>
      </c>
      <c r="B48" s="27"/>
      <c r="C48" s="27" t="s">
        <v>108</v>
      </c>
      <c r="D48" s="27" t="s">
        <v>201</v>
      </c>
      <c r="E48" s="27" t="s">
        <v>278</v>
      </c>
      <c r="F48" s="27" t="s">
        <v>346</v>
      </c>
      <c r="G48" s="28">
        <v>717</v>
      </c>
    </row>
    <row r="49" spans="1:7" ht="25.5">
      <c r="A49" s="27" t="s">
        <v>28</v>
      </c>
      <c r="B49" s="27"/>
      <c r="C49" s="27" t="s">
        <v>109</v>
      </c>
      <c r="D49" s="27" t="s">
        <v>202</v>
      </c>
      <c r="E49" s="27" t="s">
        <v>278</v>
      </c>
      <c r="F49" s="27" t="s">
        <v>347</v>
      </c>
      <c r="G49" s="28">
        <v>71.07</v>
      </c>
    </row>
    <row r="50" spans="1:7" ht="25.5">
      <c r="A50" s="27" t="s">
        <v>29</v>
      </c>
      <c r="B50" s="27"/>
      <c r="C50" s="27" t="s">
        <v>110</v>
      </c>
      <c r="D50" s="27" t="s">
        <v>203</v>
      </c>
      <c r="E50" s="27" t="s">
        <v>279</v>
      </c>
      <c r="F50" s="27" t="s">
        <v>348</v>
      </c>
      <c r="G50" s="28">
        <v>118.69</v>
      </c>
    </row>
    <row r="51" spans="1:7" ht="25.5">
      <c r="A51" s="27" t="s">
        <v>30</v>
      </c>
      <c r="B51" s="27"/>
      <c r="C51" s="27" t="s">
        <v>111</v>
      </c>
      <c r="D51" s="27" t="s">
        <v>205</v>
      </c>
      <c r="E51" s="27" t="s">
        <v>278</v>
      </c>
      <c r="F51" s="27" t="s">
        <v>349</v>
      </c>
      <c r="G51" s="28">
        <v>302.56</v>
      </c>
    </row>
    <row r="52" spans="1:7" ht="12.75">
      <c r="A52" s="27"/>
      <c r="B52" s="27"/>
      <c r="C52" s="27"/>
      <c r="D52" s="27"/>
      <c r="E52" s="27"/>
      <c r="F52" s="27" t="s">
        <v>350</v>
      </c>
      <c r="G52" s="28">
        <v>0</v>
      </c>
    </row>
    <row r="53" spans="1:7" ht="12.75">
      <c r="A53" s="27"/>
      <c r="B53" s="27"/>
      <c r="C53" s="27"/>
      <c r="D53" s="27"/>
      <c r="E53" s="27"/>
      <c r="F53" s="27" t="s">
        <v>351</v>
      </c>
      <c r="G53" s="28">
        <v>0</v>
      </c>
    </row>
    <row r="54" spans="1:7" ht="12.75">
      <c r="A54" s="27"/>
      <c r="B54" s="27"/>
      <c r="C54" s="27"/>
      <c r="D54" s="27"/>
      <c r="E54" s="27"/>
      <c r="F54" s="27" t="s">
        <v>352</v>
      </c>
      <c r="G54" s="28">
        <v>0</v>
      </c>
    </row>
    <row r="55" spans="1:7" ht="12.75">
      <c r="A55" s="27"/>
      <c r="B55" s="27"/>
      <c r="C55" s="27"/>
      <c r="D55" s="27"/>
      <c r="E55" s="27"/>
      <c r="F55" s="27" t="s">
        <v>353</v>
      </c>
      <c r="G55" s="28">
        <v>0</v>
      </c>
    </row>
    <row r="56" spans="1:7" ht="25.5">
      <c r="A56" s="27" t="s">
        <v>31</v>
      </c>
      <c r="B56" s="27"/>
      <c r="C56" s="27" t="s">
        <v>112</v>
      </c>
      <c r="D56" s="27" t="s">
        <v>206</v>
      </c>
      <c r="E56" s="27" t="s">
        <v>278</v>
      </c>
      <c r="F56" s="27" t="s">
        <v>354</v>
      </c>
      <c r="G56" s="28">
        <v>32.05</v>
      </c>
    </row>
    <row r="57" spans="1:7" ht="25.5">
      <c r="A57" s="27"/>
      <c r="B57" s="27"/>
      <c r="C57" s="27"/>
      <c r="D57" s="27"/>
      <c r="E57" s="27"/>
      <c r="F57" s="27" t="s">
        <v>355</v>
      </c>
      <c r="G57" s="28">
        <v>0</v>
      </c>
    </row>
    <row r="58" spans="1:7" ht="25.5">
      <c r="A58" s="27"/>
      <c r="B58" s="27"/>
      <c r="C58" s="27"/>
      <c r="D58" s="27"/>
      <c r="E58" s="27"/>
      <c r="F58" s="27" t="s">
        <v>356</v>
      </c>
      <c r="G58" s="28">
        <v>0</v>
      </c>
    </row>
    <row r="59" spans="1:7" ht="25.5">
      <c r="A59" s="27" t="s">
        <v>32</v>
      </c>
      <c r="B59" s="27"/>
      <c r="C59" s="27" t="s">
        <v>113</v>
      </c>
      <c r="D59" s="27" t="s">
        <v>208</v>
      </c>
      <c r="E59" s="27" t="s">
        <v>278</v>
      </c>
      <c r="F59" s="27" t="s">
        <v>357</v>
      </c>
      <c r="G59" s="28">
        <v>7.09</v>
      </c>
    </row>
    <row r="60" spans="1:7" ht="12.75">
      <c r="A60" s="27"/>
      <c r="B60" s="27"/>
      <c r="C60" s="27"/>
      <c r="D60" s="27"/>
      <c r="E60" s="27"/>
      <c r="F60" s="27" t="s">
        <v>358</v>
      </c>
      <c r="G60" s="28">
        <v>0</v>
      </c>
    </row>
    <row r="61" spans="1:7" ht="25.5">
      <c r="A61" s="27"/>
      <c r="B61" s="27"/>
      <c r="C61" s="27"/>
      <c r="D61" s="27"/>
      <c r="E61" s="27"/>
      <c r="F61" s="27" t="s">
        <v>359</v>
      </c>
      <c r="G61" s="28">
        <v>0</v>
      </c>
    </row>
    <row r="62" spans="1:7" ht="25.5">
      <c r="A62" s="27"/>
      <c r="B62" s="27"/>
      <c r="C62" s="27"/>
      <c r="D62" s="27"/>
      <c r="E62" s="27"/>
      <c r="F62" s="27" t="s">
        <v>360</v>
      </c>
      <c r="G62" s="28">
        <v>0</v>
      </c>
    </row>
    <row r="63" spans="1:7" ht="25.5">
      <c r="A63" s="27" t="s">
        <v>33</v>
      </c>
      <c r="B63" s="27"/>
      <c r="C63" s="27" t="s">
        <v>114</v>
      </c>
      <c r="D63" s="27" t="s">
        <v>209</v>
      </c>
      <c r="E63" s="27" t="s">
        <v>278</v>
      </c>
      <c r="F63" s="27" t="s">
        <v>361</v>
      </c>
      <c r="G63" s="28">
        <v>0.9</v>
      </c>
    </row>
    <row r="64" spans="1:7" ht="25.5">
      <c r="A64" s="27" t="s">
        <v>34</v>
      </c>
      <c r="B64" s="27"/>
      <c r="C64" s="27" t="s">
        <v>115</v>
      </c>
      <c r="D64" s="27" t="s">
        <v>210</v>
      </c>
      <c r="E64" s="27" t="s">
        <v>275</v>
      </c>
      <c r="F64" s="27" t="s">
        <v>362</v>
      </c>
      <c r="G64" s="28">
        <v>98.34</v>
      </c>
    </row>
    <row r="65" spans="1:7" ht="25.5">
      <c r="A65" s="27" t="s">
        <v>35</v>
      </c>
      <c r="B65" s="27"/>
      <c r="C65" s="27" t="s">
        <v>116</v>
      </c>
      <c r="D65" s="27" t="s">
        <v>212</v>
      </c>
      <c r="E65" s="27" t="s">
        <v>278</v>
      </c>
      <c r="F65" s="27" t="s">
        <v>363</v>
      </c>
      <c r="G65" s="28">
        <v>2.22</v>
      </c>
    </row>
    <row r="66" spans="1:7" ht="25.5">
      <c r="A66" s="27" t="s">
        <v>36</v>
      </c>
      <c r="B66" s="27"/>
      <c r="C66" s="27" t="s">
        <v>117</v>
      </c>
      <c r="D66" s="27" t="s">
        <v>213</v>
      </c>
      <c r="E66" s="27" t="s">
        <v>279</v>
      </c>
      <c r="F66" s="27" t="s">
        <v>364</v>
      </c>
      <c r="G66" s="28">
        <v>4.63</v>
      </c>
    </row>
    <row r="67" spans="1:7" ht="25.5">
      <c r="A67" s="27" t="s">
        <v>37</v>
      </c>
      <c r="B67" s="27"/>
      <c r="C67" s="27" t="s">
        <v>118</v>
      </c>
      <c r="D67" s="27" t="s">
        <v>215</v>
      </c>
      <c r="E67" s="27" t="s">
        <v>275</v>
      </c>
      <c r="F67" s="27" t="s">
        <v>316</v>
      </c>
      <c r="G67" s="28">
        <v>11.1</v>
      </c>
    </row>
    <row r="68" spans="1:7" ht="25.5">
      <c r="A68" s="27" t="s">
        <v>38</v>
      </c>
      <c r="B68" s="27"/>
      <c r="C68" s="27" t="s">
        <v>120</v>
      </c>
      <c r="D68" s="27" t="s">
        <v>217</v>
      </c>
      <c r="E68" s="27" t="s">
        <v>274</v>
      </c>
      <c r="F68" s="27" t="s">
        <v>365</v>
      </c>
      <c r="G68" s="28">
        <v>13.1</v>
      </c>
    </row>
    <row r="69" spans="1:7" ht="25.5">
      <c r="A69" s="27" t="s">
        <v>39</v>
      </c>
      <c r="B69" s="27"/>
      <c r="C69" s="27" t="s">
        <v>121</v>
      </c>
      <c r="D69" s="27" t="s">
        <v>218</v>
      </c>
      <c r="E69" s="27" t="s">
        <v>274</v>
      </c>
      <c r="F69" s="27" t="s">
        <v>366</v>
      </c>
      <c r="G69" s="28">
        <v>16</v>
      </c>
    </row>
    <row r="70" spans="1:7" ht="25.5">
      <c r="A70" s="27" t="s">
        <v>40</v>
      </c>
      <c r="B70" s="27"/>
      <c r="C70" s="27" t="s">
        <v>122</v>
      </c>
      <c r="D70" s="27" t="s">
        <v>219</v>
      </c>
      <c r="E70" s="27" t="s">
        <v>274</v>
      </c>
      <c r="F70" s="27" t="s">
        <v>367</v>
      </c>
      <c r="G70" s="28">
        <v>8.5</v>
      </c>
    </row>
    <row r="71" spans="1:7" ht="25.5">
      <c r="A71" s="27" t="s">
        <v>41</v>
      </c>
      <c r="B71" s="27"/>
      <c r="C71" s="27" t="s">
        <v>123</v>
      </c>
      <c r="D71" s="27" t="s">
        <v>220</v>
      </c>
      <c r="E71" s="27" t="s">
        <v>280</v>
      </c>
      <c r="F71" s="27" t="s">
        <v>368</v>
      </c>
      <c r="G71" s="28">
        <v>4</v>
      </c>
    </row>
    <row r="72" spans="1:7" ht="25.5">
      <c r="A72" s="27" t="s">
        <v>42</v>
      </c>
      <c r="B72" s="27"/>
      <c r="C72" s="27" t="s">
        <v>124</v>
      </c>
      <c r="D72" s="27" t="s">
        <v>221</v>
      </c>
      <c r="E72" s="27" t="s">
        <v>280</v>
      </c>
      <c r="F72" s="27" t="s">
        <v>369</v>
      </c>
      <c r="G72" s="28">
        <v>1</v>
      </c>
    </row>
    <row r="73" spans="1:7" ht="25.5">
      <c r="A73" s="27" t="s">
        <v>43</v>
      </c>
      <c r="B73" s="27"/>
      <c r="C73" s="27" t="s">
        <v>125</v>
      </c>
      <c r="D73" s="27" t="s">
        <v>222</v>
      </c>
      <c r="E73" s="27" t="s">
        <v>280</v>
      </c>
      <c r="F73" s="27" t="s">
        <v>370</v>
      </c>
      <c r="G73" s="28">
        <v>10</v>
      </c>
    </row>
    <row r="74" spans="1:7" ht="12.75">
      <c r="A74" s="27"/>
      <c r="B74" s="27"/>
      <c r="C74" s="27"/>
      <c r="D74" s="27"/>
      <c r="E74" s="27"/>
      <c r="F74" s="27" t="s">
        <v>371</v>
      </c>
      <c r="G74" s="28">
        <v>0</v>
      </c>
    </row>
    <row r="75" spans="1:7" ht="25.5">
      <c r="A75" s="27" t="s">
        <v>44</v>
      </c>
      <c r="B75" s="27"/>
      <c r="C75" s="27" t="s">
        <v>126</v>
      </c>
      <c r="D75" s="27" t="s">
        <v>223</v>
      </c>
      <c r="E75" s="27" t="s">
        <v>280</v>
      </c>
      <c r="F75" s="27" t="s">
        <v>369</v>
      </c>
      <c r="G75" s="28">
        <v>1</v>
      </c>
    </row>
    <row r="76" spans="1:7" ht="25.5">
      <c r="A76" s="27" t="s">
        <v>45</v>
      </c>
      <c r="B76" s="27"/>
      <c r="C76" s="27" t="s">
        <v>127</v>
      </c>
      <c r="D76" s="27" t="s">
        <v>224</v>
      </c>
      <c r="E76" s="27" t="s">
        <v>280</v>
      </c>
      <c r="F76" s="27" t="s">
        <v>318</v>
      </c>
      <c r="G76" s="28">
        <v>2</v>
      </c>
    </row>
    <row r="77" spans="1:7" ht="25.5">
      <c r="A77" s="27" t="s">
        <v>46</v>
      </c>
      <c r="B77" s="27"/>
      <c r="C77" s="27" t="s">
        <v>129</v>
      </c>
      <c r="D77" s="27" t="s">
        <v>226</v>
      </c>
      <c r="E77" s="27" t="s">
        <v>274</v>
      </c>
      <c r="F77" s="27" t="s">
        <v>372</v>
      </c>
      <c r="G77" s="28">
        <v>29.1</v>
      </c>
    </row>
    <row r="78" spans="1:7" ht="25.5">
      <c r="A78" s="27"/>
      <c r="B78" s="27"/>
      <c r="C78" s="27"/>
      <c r="D78" s="27"/>
      <c r="E78" s="27"/>
      <c r="F78" s="27" t="s">
        <v>373</v>
      </c>
      <c r="G78" s="28">
        <v>0</v>
      </c>
    </row>
    <row r="79" spans="1:7" ht="25.5">
      <c r="A79" s="27" t="s">
        <v>47</v>
      </c>
      <c r="B79" s="27"/>
      <c r="C79" s="27" t="s">
        <v>130</v>
      </c>
      <c r="D79" s="27" t="s">
        <v>227</v>
      </c>
      <c r="E79" s="27" t="s">
        <v>274</v>
      </c>
      <c r="F79" s="27"/>
      <c r="G79" s="28">
        <v>8.5</v>
      </c>
    </row>
    <row r="80" spans="1:7" ht="25.5">
      <c r="A80" s="27" t="s">
        <v>48</v>
      </c>
      <c r="B80" s="27"/>
      <c r="C80" s="27" t="s">
        <v>131</v>
      </c>
      <c r="D80" s="27" t="s">
        <v>228</v>
      </c>
      <c r="E80" s="27" t="s">
        <v>280</v>
      </c>
      <c r="F80" s="27" t="s">
        <v>374</v>
      </c>
      <c r="G80" s="28">
        <v>3</v>
      </c>
    </row>
    <row r="81" spans="1:7" ht="25.5">
      <c r="A81" s="27" t="s">
        <v>49</v>
      </c>
      <c r="B81" s="27"/>
      <c r="C81" s="27" t="s">
        <v>132</v>
      </c>
      <c r="D81" s="27" t="s">
        <v>229</v>
      </c>
      <c r="E81" s="27" t="s">
        <v>280</v>
      </c>
      <c r="F81" s="27" t="s">
        <v>369</v>
      </c>
      <c r="G81" s="28">
        <v>1</v>
      </c>
    </row>
    <row r="82" spans="1:7" ht="25.5">
      <c r="A82" s="27" t="s">
        <v>50</v>
      </c>
      <c r="B82" s="27"/>
      <c r="C82" s="27" t="s">
        <v>133</v>
      </c>
      <c r="D82" s="27" t="s">
        <v>230</v>
      </c>
      <c r="E82" s="27" t="s">
        <v>280</v>
      </c>
      <c r="F82" s="27" t="s">
        <v>369</v>
      </c>
      <c r="G82" s="28">
        <v>1</v>
      </c>
    </row>
    <row r="83" spans="1:7" ht="25.5">
      <c r="A83" s="27" t="s">
        <v>51</v>
      </c>
      <c r="B83" s="27"/>
      <c r="C83" s="27" t="s">
        <v>134</v>
      </c>
      <c r="D83" s="27" t="s">
        <v>231</v>
      </c>
      <c r="E83" s="27" t="s">
        <v>280</v>
      </c>
      <c r="F83" s="27" t="s">
        <v>369</v>
      </c>
      <c r="G83" s="28">
        <v>1</v>
      </c>
    </row>
    <row r="84" spans="1:7" ht="25.5">
      <c r="A84" s="27" t="s">
        <v>52</v>
      </c>
      <c r="B84" s="27"/>
      <c r="C84" s="27" t="s">
        <v>135</v>
      </c>
      <c r="D84" s="27" t="s">
        <v>232</v>
      </c>
      <c r="E84" s="27" t="s">
        <v>280</v>
      </c>
      <c r="F84" s="27" t="s">
        <v>369</v>
      </c>
      <c r="G84" s="28">
        <v>1</v>
      </c>
    </row>
    <row r="85" spans="1:7" ht="25.5">
      <c r="A85" s="27" t="s">
        <v>53</v>
      </c>
      <c r="B85" s="27"/>
      <c r="C85" s="27" t="s">
        <v>136</v>
      </c>
      <c r="D85" s="27" t="s">
        <v>233</v>
      </c>
      <c r="E85" s="27" t="s">
        <v>280</v>
      </c>
      <c r="F85" s="27" t="s">
        <v>369</v>
      </c>
      <c r="G85" s="28">
        <v>1</v>
      </c>
    </row>
    <row r="86" spans="1:7" ht="25.5">
      <c r="A86" s="27" t="s">
        <v>54</v>
      </c>
      <c r="B86" s="27"/>
      <c r="C86" s="27" t="s">
        <v>137</v>
      </c>
      <c r="D86" s="27" t="s">
        <v>234</v>
      </c>
      <c r="E86" s="27" t="s">
        <v>280</v>
      </c>
      <c r="F86" s="27" t="s">
        <v>375</v>
      </c>
      <c r="G86" s="28">
        <v>8</v>
      </c>
    </row>
    <row r="87" spans="1:7" ht="12.75">
      <c r="A87" s="27"/>
      <c r="B87" s="27"/>
      <c r="C87" s="27"/>
      <c r="D87" s="27"/>
      <c r="E87" s="27"/>
      <c r="F87" s="27" t="s">
        <v>376</v>
      </c>
      <c r="G87" s="28">
        <v>0</v>
      </c>
    </row>
    <row r="88" spans="1:7" ht="38.25">
      <c r="A88" s="27" t="s">
        <v>55</v>
      </c>
      <c r="B88" s="27"/>
      <c r="C88" s="27" t="s">
        <v>139</v>
      </c>
      <c r="D88" s="27" t="s">
        <v>236</v>
      </c>
      <c r="E88" s="27" t="s">
        <v>278</v>
      </c>
      <c r="F88" s="27" t="s">
        <v>377</v>
      </c>
      <c r="G88" s="28">
        <v>28.51</v>
      </c>
    </row>
    <row r="89" spans="1:7" ht="25.5">
      <c r="A89" s="27"/>
      <c r="B89" s="27"/>
      <c r="C89" s="27"/>
      <c r="D89" s="27"/>
      <c r="E89" s="27"/>
      <c r="F89" s="27" t="s">
        <v>378</v>
      </c>
      <c r="G89" s="28">
        <v>0</v>
      </c>
    </row>
    <row r="90" spans="1:7" ht="25.5">
      <c r="A90" s="27"/>
      <c r="B90" s="27"/>
      <c r="C90" s="27"/>
      <c r="D90" s="27"/>
      <c r="E90" s="27"/>
      <c r="F90" s="27" t="s">
        <v>379</v>
      </c>
      <c r="G90" s="28">
        <v>0</v>
      </c>
    </row>
    <row r="91" spans="1:7" ht="25.5">
      <c r="A91" s="27" t="s">
        <v>56</v>
      </c>
      <c r="B91" s="27"/>
      <c r="C91" s="27" t="s">
        <v>141</v>
      </c>
      <c r="D91" s="27" t="s">
        <v>238</v>
      </c>
      <c r="E91" s="27" t="s">
        <v>274</v>
      </c>
      <c r="F91" s="27" t="s">
        <v>380</v>
      </c>
      <c r="G91" s="28">
        <v>14.8</v>
      </c>
    </row>
    <row r="92" spans="1:7" ht="25.5">
      <c r="A92" s="27" t="s">
        <v>57</v>
      </c>
      <c r="B92" s="27"/>
      <c r="C92" s="27" t="s">
        <v>143</v>
      </c>
      <c r="D92" s="27" t="s">
        <v>240</v>
      </c>
      <c r="E92" s="27" t="s">
        <v>279</v>
      </c>
      <c r="F92" s="27" t="s">
        <v>381</v>
      </c>
      <c r="G92" s="28">
        <v>137.61</v>
      </c>
    </row>
    <row r="93" spans="1:7" ht="25.5">
      <c r="A93" s="27" t="s">
        <v>58</v>
      </c>
      <c r="B93" s="27"/>
      <c r="C93" s="27" t="s">
        <v>145</v>
      </c>
      <c r="D93" s="27" t="s">
        <v>242</v>
      </c>
      <c r="E93" s="27" t="s">
        <v>279</v>
      </c>
      <c r="F93" s="27" t="s">
        <v>382</v>
      </c>
      <c r="G93" s="28">
        <v>8.19</v>
      </c>
    </row>
    <row r="94" spans="1:7" ht="25.5">
      <c r="A94" s="27" t="s">
        <v>59</v>
      </c>
      <c r="B94" s="27"/>
      <c r="C94" s="27" t="s">
        <v>146</v>
      </c>
      <c r="D94" s="27" t="s">
        <v>243</v>
      </c>
      <c r="E94" s="27" t="s">
        <v>279</v>
      </c>
      <c r="F94" s="27" t="s">
        <v>383</v>
      </c>
      <c r="G94" s="28">
        <v>8.19</v>
      </c>
    </row>
    <row r="95" spans="1:7" ht="12.75">
      <c r="A95" s="34" t="s">
        <v>60</v>
      </c>
      <c r="B95" s="34"/>
      <c r="C95" s="34" t="s">
        <v>147</v>
      </c>
      <c r="D95" s="34" t="s">
        <v>245</v>
      </c>
      <c r="E95" s="34" t="s">
        <v>280</v>
      </c>
      <c r="F95" s="34" t="s">
        <v>384</v>
      </c>
      <c r="G95" s="35">
        <v>13.1</v>
      </c>
    </row>
    <row r="96" spans="1:7" ht="12.75">
      <c r="A96" s="34" t="s">
        <v>61</v>
      </c>
      <c r="B96" s="34"/>
      <c r="C96" s="34" t="s">
        <v>148</v>
      </c>
      <c r="D96" s="34" t="s">
        <v>246</v>
      </c>
      <c r="E96" s="34" t="s">
        <v>280</v>
      </c>
      <c r="F96" s="34" t="s">
        <v>385</v>
      </c>
      <c r="G96" s="35">
        <v>16</v>
      </c>
    </row>
    <row r="97" spans="1:7" ht="12.75">
      <c r="A97" s="34" t="s">
        <v>62</v>
      </c>
      <c r="B97" s="34"/>
      <c r="C97" s="34" t="s">
        <v>149</v>
      </c>
      <c r="D97" s="34" t="s">
        <v>247</v>
      </c>
      <c r="E97" s="34" t="s">
        <v>280</v>
      </c>
      <c r="F97" s="34" t="s">
        <v>386</v>
      </c>
      <c r="G97" s="35">
        <v>8.5</v>
      </c>
    </row>
    <row r="98" spans="1:7" ht="12.75">
      <c r="A98" s="34" t="s">
        <v>63</v>
      </c>
      <c r="B98" s="34"/>
      <c r="C98" s="34" t="s">
        <v>150</v>
      </c>
      <c r="D98" s="34" t="s">
        <v>248</v>
      </c>
      <c r="E98" s="34" t="s">
        <v>274</v>
      </c>
      <c r="F98" s="34" t="s">
        <v>387</v>
      </c>
      <c r="G98" s="35">
        <v>1</v>
      </c>
    </row>
    <row r="99" spans="1:7" ht="12.75">
      <c r="A99" s="34" t="s">
        <v>64</v>
      </c>
      <c r="B99" s="34"/>
      <c r="C99" s="34" t="s">
        <v>151</v>
      </c>
      <c r="D99" s="34" t="s">
        <v>249</v>
      </c>
      <c r="E99" s="34" t="s">
        <v>280</v>
      </c>
      <c r="F99" s="34" t="s">
        <v>368</v>
      </c>
      <c r="G99" s="35">
        <v>4</v>
      </c>
    </row>
    <row r="100" spans="1:7" ht="12.75">
      <c r="A100" s="34" t="s">
        <v>65</v>
      </c>
      <c r="B100" s="34"/>
      <c r="C100" s="34" t="s">
        <v>152</v>
      </c>
      <c r="D100" s="34" t="s">
        <v>250</v>
      </c>
      <c r="E100" s="34" t="s">
        <v>280</v>
      </c>
      <c r="F100" s="34" t="s">
        <v>388</v>
      </c>
      <c r="G100" s="35">
        <v>8</v>
      </c>
    </row>
    <row r="101" spans="1:7" ht="12.75">
      <c r="A101" s="34" t="s">
        <v>66</v>
      </c>
      <c r="B101" s="34"/>
      <c r="C101" s="34" t="s">
        <v>153</v>
      </c>
      <c r="D101" s="34" t="s">
        <v>251</v>
      </c>
      <c r="E101" s="34" t="s">
        <v>280</v>
      </c>
      <c r="F101" s="34" t="s">
        <v>318</v>
      </c>
      <c r="G101" s="35">
        <v>2</v>
      </c>
    </row>
    <row r="102" spans="1:7" ht="12.75">
      <c r="A102" s="34" t="s">
        <v>67</v>
      </c>
      <c r="B102" s="34"/>
      <c r="C102" s="34" t="s">
        <v>154</v>
      </c>
      <c r="D102" s="34" t="s">
        <v>252</v>
      </c>
      <c r="E102" s="34" t="s">
        <v>280</v>
      </c>
      <c r="F102" s="34" t="s">
        <v>369</v>
      </c>
      <c r="G102" s="35">
        <v>1</v>
      </c>
    </row>
    <row r="103" spans="1:7" ht="12.75">
      <c r="A103" s="34" t="s">
        <v>68</v>
      </c>
      <c r="B103" s="34"/>
      <c r="C103" s="34" t="s">
        <v>155</v>
      </c>
      <c r="D103" s="34" t="s">
        <v>253</v>
      </c>
      <c r="E103" s="34" t="s">
        <v>280</v>
      </c>
      <c r="F103" s="34" t="s">
        <v>369</v>
      </c>
      <c r="G103" s="35">
        <v>1</v>
      </c>
    </row>
    <row r="104" spans="1:7" ht="12.75">
      <c r="A104" s="34" t="s">
        <v>69</v>
      </c>
      <c r="B104" s="34"/>
      <c r="C104" s="34" t="s">
        <v>156</v>
      </c>
      <c r="D104" s="34" t="s">
        <v>254</v>
      </c>
      <c r="E104" s="34" t="s">
        <v>280</v>
      </c>
      <c r="F104" s="34" t="s">
        <v>369</v>
      </c>
      <c r="G104" s="35">
        <v>1</v>
      </c>
    </row>
    <row r="105" spans="1:7" ht="12.75">
      <c r="A105" s="34" t="s">
        <v>70</v>
      </c>
      <c r="B105" s="34"/>
      <c r="C105" s="34" t="s">
        <v>157</v>
      </c>
      <c r="D105" s="34" t="s">
        <v>255</v>
      </c>
      <c r="E105" s="34" t="s">
        <v>280</v>
      </c>
      <c r="F105" s="34" t="s">
        <v>369</v>
      </c>
      <c r="G105" s="35">
        <v>1</v>
      </c>
    </row>
    <row r="106" spans="1:7" ht="12.75">
      <c r="A106" s="34" t="s">
        <v>71</v>
      </c>
      <c r="B106" s="34"/>
      <c r="C106" s="34" t="s">
        <v>158</v>
      </c>
      <c r="D106" s="34" t="s">
        <v>256</v>
      </c>
      <c r="E106" s="34" t="s">
        <v>280</v>
      </c>
      <c r="F106" s="34" t="s">
        <v>387</v>
      </c>
      <c r="G106" s="35">
        <v>1</v>
      </c>
    </row>
    <row r="107" spans="1:7" ht="12.75">
      <c r="A107" s="34" t="s">
        <v>72</v>
      </c>
      <c r="B107" s="34"/>
      <c r="C107" s="34" t="s">
        <v>159</v>
      </c>
      <c r="D107" s="34" t="s">
        <v>257</v>
      </c>
      <c r="E107" s="34" t="s">
        <v>280</v>
      </c>
      <c r="F107" s="34" t="s">
        <v>387</v>
      </c>
      <c r="G107" s="35">
        <v>1</v>
      </c>
    </row>
    <row r="108" spans="1:7" ht="12.75">
      <c r="A108" s="34" t="s">
        <v>73</v>
      </c>
      <c r="B108" s="34"/>
      <c r="C108" s="34" t="s">
        <v>160</v>
      </c>
      <c r="D108" s="34" t="s">
        <v>258</v>
      </c>
      <c r="E108" s="34" t="s">
        <v>280</v>
      </c>
      <c r="F108" s="34" t="s">
        <v>387</v>
      </c>
      <c r="G108" s="35">
        <v>1</v>
      </c>
    </row>
    <row r="109" spans="1:7" ht="12.75">
      <c r="A109" s="34" t="s">
        <v>74</v>
      </c>
      <c r="B109" s="34"/>
      <c r="C109" s="34" t="s">
        <v>161</v>
      </c>
      <c r="D109" s="34" t="s">
        <v>259</v>
      </c>
      <c r="E109" s="34" t="s">
        <v>280</v>
      </c>
      <c r="F109" s="34" t="s">
        <v>389</v>
      </c>
      <c r="G109" s="35">
        <v>3</v>
      </c>
    </row>
    <row r="110" spans="1:7" ht="12.75">
      <c r="A110" s="34" t="s">
        <v>75</v>
      </c>
      <c r="B110" s="34"/>
      <c r="C110" s="34" t="s">
        <v>162</v>
      </c>
      <c r="D110" s="34" t="s">
        <v>260</v>
      </c>
      <c r="E110" s="34" t="s">
        <v>281</v>
      </c>
      <c r="F110" s="34" t="s">
        <v>348</v>
      </c>
      <c r="G110" s="35">
        <v>118.69</v>
      </c>
    </row>
    <row r="111" spans="1:7" ht="12.75">
      <c r="A111" s="34" t="s">
        <v>76</v>
      </c>
      <c r="B111" s="34"/>
      <c r="C111" s="34" t="s">
        <v>163</v>
      </c>
      <c r="D111" s="34" t="s">
        <v>261</v>
      </c>
      <c r="E111" s="34" t="s">
        <v>280</v>
      </c>
      <c r="F111" s="34" t="s">
        <v>369</v>
      </c>
      <c r="G111" s="35">
        <v>1</v>
      </c>
    </row>
    <row r="112" spans="1:7" ht="12.75">
      <c r="A112" s="34" t="s">
        <v>77</v>
      </c>
      <c r="B112" s="34"/>
      <c r="C112" s="34" t="s">
        <v>164</v>
      </c>
      <c r="D112" s="34" t="s">
        <v>262</v>
      </c>
      <c r="E112" s="34" t="s">
        <v>280</v>
      </c>
      <c r="F112" s="34" t="s">
        <v>369</v>
      </c>
      <c r="G112" s="35">
        <v>1</v>
      </c>
    </row>
    <row r="113" spans="1:7" ht="12.75">
      <c r="A113" s="34" t="s">
        <v>78</v>
      </c>
      <c r="B113" s="34"/>
      <c r="C113" s="34" t="s">
        <v>165</v>
      </c>
      <c r="D113" s="34" t="s">
        <v>263</v>
      </c>
      <c r="E113" s="34" t="s">
        <v>280</v>
      </c>
      <c r="F113" s="34" t="s">
        <v>369</v>
      </c>
      <c r="G113" s="35">
        <v>1</v>
      </c>
    </row>
    <row r="114" spans="1:7" ht="12.75">
      <c r="A114" s="34" t="s">
        <v>79</v>
      </c>
      <c r="B114" s="34"/>
      <c r="C114" s="34" t="s">
        <v>166</v>
      </c>
      <c r="D114" s="34" t="s">
        <v>264</v>
      </c>
      <c r="E114" s="34" t="s">
        <v>280</v>
      </c>
      <c r="F114" s="34" t="s">
        <v>390</v>
      </c>
      <c r="G114" s="35">
        <v>5</v>
      </c>
    </row>
    <row r="115" spans="1:7" ht="12.75">
      <c r="A115" s="34"/>
      <c r="B115" s="34"/>
      <c r="C115" s="34"/>
      <c r="D115" s="34"/>
      <c r="E115" s="34"/>
      <c r="F115" s="34" t="s">
        <v>391</v>
      </c>
      <c r="G115" s="35">
        <v>0</v>
      </c>
    </row>
    <row r="116" spans="1:7" ht="12.75">
      <c r="A116" s="34" t="s">
        <v>80</v>
      </c>
      <c r="B116" s="34"/>
      <c r="C116" s="34" t="s">
        <v>167</v>
      </c>
      <c r="D116" s="34" t="s">
        <v>265</v>
      </c>
      <c r="E116" s="34" t="s">
        <v>280</v>
      </c>
      <c r="F116" s="34" t="s">
        <v>369</v>
      </c>
      <c r="G116" s="35">
        <v>1</v>
      </c>
    </row>
    <row r="117" spans="1:7" ht="12.75">
      <c r="A117" s="34" t="s">
        <v>81</v>
      </c>
      <c r="B117" s="34"/>
      <c r="C117" s="34" t="s">
        <v>168</v>
      </c>
      <c r="D117" s="34" t="s">
        <v>266</v>
      </c>
      <c r="E117" s="34" t="s">
        <v>280</v>
      </c>
      <c r="F117" s="34" t="s">
        <v>369</v>
      </c>
      <c r="G117" s="35">
        <v>1</v>
      </c>
    </row>
    <row r="118" spans="1:7" ht="12.75">
      <c r="A118" s="34" t="s">
        <v>82</v>
      </c>
      <c r="B118" s="34"/>
      <c r="C118" s="34" t="s">
        <v>169</v>
      </c>
      <c r="D118" s="34" t="s">
        <v>267</v>
      </c>
      <c r="E118" s="34" t="s">
        <v>280</v>
      </c>
      <c r="F118" s="34" t="s">
        <v>369</v>
      </c>
      <c r="G118" s="35">
        <v>1</v>
      </c>
    </row>
    <row r="119" spans="1:7" ht="12.75">
      <c r="A119" s="34" t="s">
        <v>83</v>
      </c>
      <c r="B119" s="34"/>
      <c r="C119" s="34" t="s">
        <v>170</v>
      </c>
      <c r="D119" s="34" t="s">
        <v>268</v>
      </c>
      <c r="E119" s="34" t="s">
        <v>280</v>
      </c>
      <c r="F119" s="34" t="s">
        <v>369</v>
      </c>
      <c r="G119" s="35">
        <v>1</v>
      </c>
    </row>
  </sheetData>
  <sheetProtection/>
  <mergeCells count="17">
    <mergeCell ref="E4:E5"/>
    <mergeCell ref="E6:E7"/>
    <mergeCell ref="E8:E9"/>
    <mergeCell ref="F2:G3"/>
    <mergeCell ref="F4:G5"/>
    <mergeCell ref="F6:G7"/>
    <mergeCell ref="F8:G9"/>
    <mergeCell ref="A1:G1"/>
    <mergeCell ref="A2:B3"/>
    <mergeCell ref="A4:B5"/>
    <mergeCell ref="A6:B7"/>
    <mergeCell ref="A8:B9"/>
    <mergeCell ref="C2:D3"/>
    <mergeCell ref="C4:D5"/>
    <mergeCell ref="C6:D7"/>
    <mergeCell ref="C8:D9"/>
    <mergeCell ref="E2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Tomický</dc:creator>
  <cp:keywords/>
  <dc:description/>
  <cp:lastModifiedBy>Kajzarová Jitka</cp:lastModifiedBy>
  <cp:lastPrinted>2012-10-31T11:30:49Z</cp:lastPrinted>
  <dcterms:created xsi:type="dcterms:W3CDTF">2012-11-07T15:31:49Z</dcterms:created>
  <dcterms:modified xsi:type="dcterms:W3CDTF">2014-11-10T07:31:05Z</dcterms:modified>
  <cp:category/>
  <cp:version/>
  <cp:contentType/>
  <cp:contentStatus/>
</cp:coreProperties>
</file>