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5600" windowHeight="14070" activeTab="0"/>
  </bookViews>
  <sheets>
    <sheet name="Rozpočet - vybrané sloupce" sheetId="1" r:id="rId1"/>
  </sheets>
  <definedNames>
    <definedName name="_xlnm.Print_Titles" localSheetId="0">'Rozpočet - vybrané sloupce'!$3:$3</definedName>
    <definedName name="_xlnm.Print_Area" localSheetId="0">'Rozpočet - vybrané sloupce'!$A$1:$H$137</definedName>
  </definedNames>
  <calcPr fullCalcOnLoad="1"/>
</workbook>
</file>

<file path=xl/sharedStrings.xml><?xml version="1.0" encoding="utf-8"?>
<sst xmlns="http://schemas.openxmlformats.org/spreadsheetml/2006/main" count="487" uniqueCount="332">
  <si>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</si>
  <si>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</si>
  <si>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</si>
  <si>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</si>
  <si>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</si>
  <si>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</si>
  <si>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</si>
  <si>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</si>
  <si>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</si>
  <si>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</si>
  <si>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</si>
  <si>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</si>
  <si>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</si>
  <si>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</si>
  <si>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</si>
  <si>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</si>
  <si>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</si>
  <si>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</si>
  <si>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</si>
  <si>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</si>
  <si>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</si>
  <si>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</si>
  <si>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</si>
  <si>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</si>
  <si>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</si>
  <si>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</si>
  <si>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</si>
  <si>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</si>
  <si>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</si>
  <si>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</si>
  <si>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</si>
  <si>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</si>
  <si>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</si>
  <si>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</si>
  <si>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</si>
  <si>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</si>
  <si>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</si>
  <si>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</si>
  <si>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</si>
  <si>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</si>
  <si>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</si>
  <si>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</si>
  <si>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</si>
  <si>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</si>
  <si>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</si>
  <si>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</si>
  <si>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</si>
  <si>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</si>
  <si>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</si>
  <si>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</si>
  <si>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</si>
  <si>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</si>
  <si>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</si>
  <si>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</si>
  <si>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</si>
  <si>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</si>
  <si>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</si>
  <si>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</si>
  <si>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</si>
  <si>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</si>
  <si>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</si>
  <si>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</si>
  <si>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</si>
  <si>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</si>
  <si>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</si>
  <si>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</si>
  <si>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</si>
  <si>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</si>
  <si>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Kód</t>
  </si>
  <si>
    <t>113105113R00</t>
  </si>
  <si>
    <t>113106121R00</t>
  </si>
  <si>
    <t>113107122R00</t>
  </si>
  <si>
    <t>113107123R00</t>
  </si>
  <si>
    <t>113107124R00</t>
  </si>
  <si>
    <t>113107142R00</t>
  </si>
  <si>
    <t>113107241R00</t>
  </si>
  <si>
    <t>113151213R00</t>
  </si>
  <si>
    <t>113202111R00</t>
  </si>
  <si>
    <t>113204111R00</t>
  </si>
  <si>
    <t>121101102R00</t>
  </si>
  <si>
    <t>122201102R00</t>
  </si>
  <si>
    <t>122201109R00</t>
  </si>
  <si>
    <t>162701105R00</t>
  </si>
  <si>
    <t>162702199R00</t>
  </si>
  <si>
    <t>167101101R00</t>
  </si>
  <si>
    <t>181101102R00</t>
  </si>
  <si>
    <t>271571112R00</t>
  </si>
  <si>
    <t>564762111R00</t>
  </si>
  <si>
    <t>564851111R00</t>
  </si>
  <si>
    <t>565141211R00</t>
  </si>
  <si>
    <t>573231111R00</t>
  </si>
  <si>
    <t>577132211R00</t>
  </si>
  <si>
    <t>460030062R00</t>
  </si>
  <si>
    <t>591241111R00</t>
  </si>
  <si>
    <t>592162116</t>
  </si>
  <si>
    <t>59245308</t>
  </si>
  <si>
    <t>596215021R00</t>
  </si>
  <si>
    <t>596215040R00</t>
  </si>
  <si>
    <t>597092311R00</t>
  </si>
  <si>
    <t>597092323R00</t>
  </si>
  <si>
    <t>597092331R00</t>
  </si>
  <si>
    <t>597092354RU1</t>
  </si>
  <si>
    <t>597092373R00</t>
  </si>
  <si>
    <t>597101113RT1</t>
  </si>
  <si>
    <t>89</t>
  </si>
  <si>
    <t>895941311RT2</t>
  </si>
  <si>
    <t>90</t>
  </si>
  <si>
    <t>900-002VD</t>
  </si>
  <si>
    <t>91</t>
  </si>
  <si>
    <t>59217421</t>
  </si>
  <si>
    <t>59217472</t>
  </si>
  <si>
    <t>900-004VD</t>
  </si>
  <si>
    <t>914001111R00</t>
  </si>
  <si>
    <t>915711121R00</t>
  </si>
  <si>
    <t>915712122R00</t>
  </si>
  <si>
    <t>915791111R00</t>
  </si>
  <si>
    <t>917862111R00</t>
  </si>
  <si>
    <t>93</t>
  </si>
  <si>
    <t>938908411R00</t>
  </si>
  <si>
    <t>96</t>
  </si>
  <si>
    <t>960-003VD</t>
  </si>
  <si>
    <t>960-005VD</t>
  </si>
  <si>
    <t>M46</t>
  </si>
  <si>
    <t>460030058R00</t>
  </si>
  <si>
    <t>460080001RT1</t>
  </si>
  <si>
    <t>460230101RT1</t>
  </si>
  <si>
    <t>S</t>
  </si>
  <si>
    <t>979082213R00</t>
  </si>
  <si>
    <t>979082219R00</t>
  </si>
  <si>
    <t>979084216R00</t>
  </si>
  <si>
    <t>979084219R00</t>
  </si>
  <si>
    <t>998225191R00</t>
  </si>
  <si>
    <t>28613909.A</t>
  </si>
  <si>
    <t>28613911.A</t>
  </si>
  <si>
    <t>404-001VD</t>
  </si>
  <si>
    <t>404-006VD</t>
  </si>
  <si>
    <t>404-007VD</t>
  </si>
  <si>
    <t>404-008VD</t>
  </si>
  <si>
    <t>40445221</t>
  </si>
  <si>
    <t>55340374</t>
  </si>
  <si>
    <t>55351333.A</t>
  </si>
  <si>
    <t>998225111R00</t>
  </si>
  <si>
    <t>Zkrácený popis</t>
  </si>
  <si>
    <t>Přípravné a přidružené práce</t>
  </si>
  <si>
    <t>Rozebrání dlažeb z lom. kamene do MC, spáry s MC</t>
  </si>
  <si>
    <t>Rozebrání dlažeb z betonových dlaždic na sucho</t>
  </si>
  <si>
    <t>Odstranění podkladu pl. 200 m2,kam.drcené tl.20 cm</t>
  </si>
  <si>
    <t>Odstranění podkladu pl. 200 m2,kam.drcené tl.30 cm</t>
  </si>
  <si>
    <t>Odstranění podkladu pl. 200 m2,kam.drcené tl.40 cm</t>
  </si>
  <si>
    <t>Odstranění podkladu pl.do 200 m2, živice tl. 10 cm</t>
  </si>
  <si>
    <t>Odstranění podkladu nad 200 m2, živičného tl.5 cm</t>
  </si>
  <si>
    <t>Frézování krytu nad 500 m2, bez překážek, tl.4 cm</t>
  </si>
  <si>
    <t>Vytrhání obrub z krajníků nebo obrubníků stojatých</t>
  </si>
  <si>
    <t>Vytrhání obrub záhonových</t>
  </si>
  <si>
    <t>Odkopávky a prokopávky</t>
  </si>
  <si>
    <t>Sejmutí ornice s přemístěním přes 50 do 100 m</t>
  </si>
  <si>
    <t>Odkopávky nezapažené v hor. 3 do 1000 m3</t>
  </si>
  <si>
    <t>Příplatek za lepivost - odkopávky v hor. 3</t>
  </si>
  <si>
    <t>Přemístění výkopku</t>
  </si>
  <si>
    <t>Vodorovné přemístění výkopku z hor.1-4 do 10000 m</t>
  </si>
  <si>
    <t>Poplatek za skládku zeminy</t>
  </si>
  <si>
    <t>Nakládání výkopku z hor.1-4 v množství do 100 m3</t>
  </si>
  <si>
    <t>Povrchové úpravy terénu</t>
  </si>
  <si>
    <t>Úprava pláně v zářezech v hor. 1-4, se zhutněním</t>
  </si>
  <si>
    <t>Základy</t>
  </si>
  <si>
    <t>Polštář základu ze štěrkopísku netříděného</t>
  </si>
  <si>
    <t>Podkladní vrstvy komunikací a zpevněných ploch</t>
  </si>
  <si>
    <t>Podklad z kam.drceného 32-63 s výplň.kamen. 20 cm</t>
  </si>
  <si>
    <t>Podklad ze štěrkodrti po zhutnění tloušťky 15 cm</t>
  </si>
  <si>
    <t>Podklad z obal kam.ACP 16+,ACP 22+,nad 3 m,tl.6 cm</t>
  </si>
  <si>
    <t>Kryty štěrkových a živičných pozemních komunikací a zpevněných ploch</t>
  </si>
  <si>
    <t>Postřik živičný spojovací z emulze 0,5-0,7 kg/m2</t>
  </si>
  <si>
    <t>Beton asfalt. ACO 8, nebo ACO 11+, nad 3 m, 4 cm</t>
  </si>
  <si>
    <t>Dlažby a předlažby pozemních komunikací a zpevněných ploch</t>
  </si>
  <si>
    <t>Kladení dlažby do lože z betonu</t>
  </si>
  <si>
    <t>Kladení dlažby drobné kostky, lože z betonu</t>
  </si>
  <si>
    <t>Přídlažba silniční nízká  ABK 50/25/8 přírodní</t>
  </si>
  <si>
    <t>Dlažba betonová přírodní  20x10x6</t>
  </si>
  <si>
    <t>Kladení zámkové dlažby tl. 6 cm do drtě tl. 4 cm</t>
  </si>
  <si>
    <t>Kladení zámkové dlažby tl. 8 cm do drtě tl. 4 cm</t>
  </si>
  <si>
    <t>Žlab odvodňovací  V 200 ,dl.1000 mm</t>
  </si>
  <si>
    <t>Vpust  V 200,dl.500 mm DN 200</t>
  </si>
  <si>
    <t>Čelo žlabu  V 200 kombin.plné</t>
  </si>
  <si>
    <t>Krycí rošt  V 200, D 400, dl. 500 mm</t>
  </si>
  <si>
    <t>Pachový uzávěr  V 200</t>
  </si>
  <si>
    <t>Montáž odvodňovacího žlabu - polymerbeton</t>
  </si>
  <si>
    <t>Ostatní konstrukce a práce na trubním vedení</t>
  </si>
  <si>
    <t>Zřízení vpusti uliční z dílců typ UVB - 50</t>
  </si>
  <si>
    <t>Hodinové zúčtovací sazby (HZS)</t>
  </si>
  <si>
    <t>Poplatek za skládku suti a vybouraných hmot</t>
  </si>
  <si>
    <t>Doplňující konstrukce a práce na pozemních komunikacích a zpevněných plochách</t>
  </si>
  <si>
    <t>Obrubník chodníkový ABO 14-10 1000/100/250</t>
  </si>
  <si>
    <t>Obrubník silniční 1000/150/250 šedý</t>
  </si>
  <si>
    <t>Zaříznutí asfalt. krytu s obnovením konstr. vrstev</t>
  </si>
  <si>
    <t>Montáž svislých dopr.značek na sloupky, konzoly</t>
  </si>
  <si>
    <t>Vodor.značení dělicích čar 12 cm plastem,nehlučné</t>
  </si>
  <si>
    <t>Vodor.značení dělicích čar 25 cm plastem,zvučící</t>
  </si>
  <si>
    <t>Předznačení pro značení dělící čáry,vodící proužky</t>
  </si>
  <si>
    <t>Osazení stojat. obrub. bet. s opěrou,lože z betonu C16/20</t>
  </si>
  <si>
    <t>Různé dokončovací konstrukce a práce inženýrských staveb</t>
  </si>
  <si>
    <t>Očištění povrchu krytu saponátovým roztokem</t>
  </si>
  <si>
    <t>Bourání konstrukcí</t>
  </si>
  <si>
    <t>Rozebrání žlabu z bet. prefabrikátů</t>
  </si>
  <si>
    <t>Vybourání a zasypání stáv. vpustí vč. odvozu</t>
  </si>
  <si>
    <t>Zemní práce při montážích</t>
  </si>
  <si>
    <t>Vytrhání beton. dlaždic, lože MC, zalité spáry</t>
  </si>
  <si>
    <t>Betonový základ do zeminy bez bednění</t>
  </si>
  <si>
    <t>Drážka pro indukční smyčku v živičném krytu</t>
  </si>
  <si>
    <t>Přesuny sutí</t>
  </si>
  <si>
    <t>Vodorovná doprava suti po suchu do 1 km</t>
  </si>
  <si>
    <t>Příplatek za dopravu suti po suchu za další 1 km</t>
  </si>
  <si>
    <t>Vodorovná doprava vybour. hmot po suchu do 5 km</t>
  </si>
  <si>
    <t>Příplatek k dopravě vybour.hmot za dalších 5 km</t>
  </si>
  <si>
    <t>Přesun hmot, komunikace živičné, příplatek do 1 km</t>
  </si>
  <si>
    <t>Ostatní materiál</t>
  </si>
  <si>
    <t>Trubka PE d 32 mm</t>
  </si>
  <si>
    <t>Trubka PE d 50 mm</t>
  </si>
  <si>
    <t>Sloupek k DZ, FeZn DN60, dl. 3m, vč. kotev patky</t>
  </si>
  <si>
    <t>Automatická závora komplet vč. montáže</t>
  </si>
  <si>
    <t>Dopravní knoflík s plastovou odrazkou</t>
  </si>
  <si>
    <t>Zvýrazňující blikající knoflík</t>
  </si>
  <si>
    <t>Značka dopr.zákazové B1-B34 700 mm, pozink.tř1</t>
  </si>
  <si>
    <t>Mříž s rámem 500/500/160 D400</t>
  </si>
  <si>
    <t>Lapač nečistot RT plast</t>
  </si>
  <si>
    <t>Přesun hmot, pozemní komunikace, kryt živičný</t>
  </si>
  <si>
    <t>M.j.</t>
  </si>
  <si>
    <t>m2</t>
  </si>
  <si>
    <t>m</t>
  </si>
  <si>
    <t>m3</t>
  </si>
  <si>
    <t>kus</t>
  </si>
  <si>
    <t>t</t>
  </si>
  <si>
    <t>Množství</t>
  </si>
  <si>
    <t>Rozměry</t>
  </si>
  <si>
    <t>0,2*13,5   přídlažba na vjezdu k heliportu</t>
  </si>
  <si>
    <t>2*0,2*1,3   přídlažba pro překop pro kabe NN</t>
  </si>
  <si>
    <t>0,2*26   proužek v prostoru křižovatky</t>
  </si>
  <si>
    <t>0,2*12,8   přídlažba okolo ostrůvku</t>
  </si>
  <si>
    <t>52   vybourání parkovacích stání</t>
  </si>
  <si>
    <t xml:space="preserve">   výměra viz. situace</t>
  </si>
  <si>
    <t>195   vybourání chodníků</t>
  </si>
  <si>
    <t>12   odstranění vozovky obratiště</t>
  </si>
  <si>
    <t>80   odstranění vozovky parkoviště a vjezdů</t>
  </si>
  <si>
    <t>52   odstranění vozovky parkovišť</t>
  </si>
  <si>
    <t>12   vybourání vozovky obratiště</t>
  </si>
  <si>
    <t>80   vybourání vozovky parkoviště a vjezdů</t>
  </si>
  <si>
    <t>195   kryt chodníku z litého asfaltu</t>
  </si>
  <si>
    <t>80   kryt parkovišť a vjezdů</t>
  </si>
  <si>
    <t>963   stávající vozovka z litého asfaltu</t>
  </si>
  <si>
    <t>19,5   silniční obruby na vjezdu k heliportu</t>
  </si>
  <si>
    <t>11,5   silniční obruby ostrůvku</t>
  </si>
  <si>
    <t>138+120   silniční obruby stáv. komunikace</t>
  </si>
  <si>
    <t>23,5   obruby chodníků</t>
  </si>
  <si>
    <t>50   obruby na parkovišti</t>
  </si>
  <si>
    <t>68   obruby chodníku</t>
  </si>
  <si>
    <t>0,15*325   komunikace k heliportu</t>
  </si>
  <si>
    <t>0,15*142   chodník od heliportu ke koridoru</t>
  </si>
  <si>
    <t>0,15*6,5   ostrůvek</t>
  </si>
  <si>
    <t>0,15*292   rozšíření komunikace+chodník</t>
  </si>
  <si>
    <t>221   komunikace k heliportu</t>
  </si>
  <si>
    <t>43   chodník ke koridoru</t>
  </si>
  <si>
    <t>80   rozšíření komunikace+chodník</t>
  </si>
  <si>
    <t>344/2</t>
  </si>
  <si>
    <t>221+43+80</t>
  </si>
  <si>
    <t>995</t>
  </si>
  <si>
    <t>0,8*0,8*0,1*4   podsyp pod základy závor</t>
  </si>
  <si>
    <t>210   komunikace k heliportu</t>
  </si>
  <si>
    <t>465+12   rozšíření + koridor + parkoviště</t>
  </si>
  <si>
    <t>275   komunikace k heliportu</t>
  </si>
  <si>
    <t>120   chodník ke koridoru</t>
  </si>
  <si>
    <t>9   zapravení rýhy pro venení NN</t>
  </si>
  <si>
    <t>9   vozovka v ploše ostrůvku</t>
  </si>
  <si>
    <t>595+12   rozšíření komunikace+koridor+parkoviště</t>
  </si>
  <si>
    <t>412   rozšíření + koridor</t>
  </si>
  <si>
    <t>91   parkoviště + vjezd</t>
  </si>
  <si>
    <t>210+412+91   1. vrstva pos ACP</t>
  </si>
  <si>
    <t>210+91+1322   2. vrstva pod ACO</t>
  </si>
  <si>
    <t>91   parkoviště+vjezd</t>
  </si>
  <si>
    <t>1322   obrusná vrstva na stáv. kom a rozšíření + koridor</t>
  </si>
  <si>
    <t>128*0,25   přídlažba</t>
  </si>
  <si>
    <t>0,2*13,5   vjezd k heliportu</t>
  </si>
  <si>
    <t>2*0,2*1,3   překop pro vedení NN</t>
  </si>
  <si>
    <t xml:space="preserve">   použití stávajících kostek</t>
  </si>
  <si>
    <t>128*2</t>
  </si>
  <si>
    <t>;ztratné 1%; 2,5856</t>
  </si>
  <si>
    <t>64+33   chodník podél rozšířené komunikace</t>
  </si>
  <si>
    <t>;ztratné 1%; 2,1917</t>
  </si>
  <si>
    <t>120+64+33</t>
  </si>
  <si>
    <t>12   parkoviště - použití stávající dlažby</t>
  </si>
  <si>
    <t>2   bez spádu</t>
  </si>
  <si>
    <t>2   se spádovaným dnem</t>
  </si>
  <si>
    <t>5*2</t>
  </si>
  <si>
    <t>6   přesun stávajícího žlabu na vjezdu parkoviště</t>
  </si>
  <si>
    <t>47   hmoty</t>
  </si>
  <si>
    <t>310   suť</t>
  </si>
  <si>
    <t>245</t>
  </si>
  <si>
    <t>;ztratné 1%; 2,45</t>
  </si>
  <si>
    <t>455</t>
  </si>
  <si>
    <t>;ztratné 1%; 4,5837</t>
  </si>
  <si>
    <t>2*6   parkoviště</t>
  </si>
  <si>
    <t>2*4,5   překop</t>
  </si>
  <si>
    <t>276   dělící čáry v heliportu</t>
  </si>
  <si>
    <t>37*5,5+36*4,7   značka V10b v heliportu</t>
  </si>
  <si>
    <t>3*6   značka V10b na parkovišti u přijmu</t>
  </si>
  <si>
    <t>96   vodící proužek V4</t>
  </si>
  <si>
    <t>96   V4</t>
  </si>
  <si>
    <t>245   chodníkové betonové obruby</t>
  </si>
  <si>
    <t>455   silniční betonové obruby</t>
  </si>
  <si>
    <t>963   očištění povrchu po odfrézování vozovky</t>
  </si>
  <si>
    <t>6*2   demontáž stávajících žlabů na vjezdech parkoviště</t>
  </si>
  <si>
    <t>66   odstranění silniční přídlažby</t>
  </si>
  <si>
    <t>4*0,8*0,8*1,2   betonové základy pro závory</t>
  </si>
  <si>
    <t>8*2</t>
  </si>
  <si>
    <t>310</t>
  </si>
  <si>
    <t>310*9   odvoz do 10 km</t>
  </si>
  <si>
    <t>47   odvoz do 10 km</t>
  </si>
  <si>
    <t>;ztratné 3%; 0,15</t>
  </si>
  <si>
    <t>;ztratné 1%; 0,0206</t>
  </si>
  <si>
    <t>;ztratné 3%; 0,06</t>
  </si>
  <si>
    <t>280+60</t>
  </si>
  <si>
    <t>;ztratné 3%; 10,2</t>
  </si>
  <si>
    <t>;ztratné 3%; 0,54</t>
  </si>
  <si>
    <t>2   B1b, B20a</t>
  </si>
  <si>
    <t>;ztratné 3%; 0,12</t>
  </si>
  <si>
    <t>;ztratné 1%; 0,04</t>
  </si>
  <si>
    <t>G08-S. SOUPIS PRACÍ</t>
  </si>
  <si>
    <t>767-019VD</t>
  </si>
  <si>
    <t>Ocelový zahrazovací sloupek h 1000 mm, vč. osazení</t>
  </si>
  <si>
    <t>ks</t>
  </si>
  <si>
    <t>;ztratné 3%; 1,2</t>
  </si>
  <si>
    <t>67</t>
  </si>
  <si>
    <t>Jed. cena (Kč)</t>
  </si>
  <si>
    <t>Celkem (Kč)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</si>
</sst>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\ &quot;Kč&quot;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166" fontId="2" fillId="33" borderId="10" xfId="0" applyNumberFormat="1" applyFont="1" applyFill="1" applyBorder="1" applyAlignment="1" applyProtection="1">
      <alignment horizontal="right" vertical="center"/>
      <protection/>
    </xf>
    <xf numFmtId="166" fontId="2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9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11.421875" defaultRowHeight="12.75"/>
  <cols>
    <col min="1" max="1" width="2.8515625" style="0" customWidth="1"/>
    <col min="2" max="2" width="13.8515625" style="0" customWidth="1"/>
    <col min="3" max="3" width="53.140625" style="0" customWidth="1"/>
    <col min="4" max="4" width="4.28125" style="0" customWidth="1"/>
    <col min="5" max="5" width="47.421875" style="0" customWidth="1"/>
    <col min="6" max="6" width="10.140625" style="0" customWidth="1"/>
    <col min="7" max="7" width="13.7109375" style="0" customWidth="1"/>
    <col min="8" max="8" width="15.7109375" style="0" customWidth="1"/>
    <col min="9" max="30" width="11.421875" style="0" customWidth="1"/>
    <col min="31" max="32" width="12.140625" style="0" hidden="1" customWidth="1"/>
  </cols>
  <sheetData>
    <row r="1" spans="1:6" ht="12.75">
      <c r="A1" s="25" t="s">
        <v>324</v>
      </c>
      <c r="B1" s="25"/>
      <c r="C1" s="25"/>
      <c r="D1" s="25"/>
      <c r="E1" s="25"/>
      <c r="F1" s="25"/>
    </row>
    <row r="2" spans="1:9" ht="13.5" thickBot="1">
      <c r="A2" s="13"/>
      <c r="B2" s="13"/>
      <c r="C2" s="13"/>
      <c r="D2" s="13"/>
      <c r="E2" s="13"/>
      <c r="F2" s="13"/>
      <c r="G2" s="13"/>
      <c r="H2" s="14"/>
      <c r="I2" s="14"/>
    </row>
    <row r="3" spans="1:9" ht="13.5" thickBot="1">
      <c r="A3" s="9" t="s">
        <v>1</v>
      </c>
      <c r="B3" s="9" t="s">
        <v>68</v>
      </c>
      <c r="C3" s="9" t="s">
        <v>142</v>
      </c>
      <c r="D3" s="9" t="s">
        <v>225</v>
      </c>
      <c r="E3" s="9" t="s">
        <v>232</v>
      </c>
      <c r="F3" s="15" t="s">
        <v>231</v>
      </c>
      <c r="G3" s="16" t="s">
        <v>330</v>
      </c>
      <c r="H3" s="17" t="s">
        <v>331</v>
      </c>
      <c r="I3" s="14"/>
    </row>
    <row r="4" spans="1:9" ht="12.75">
      <c r="A4" s="3" t="s">
        <v>0</v>
      </c>
      <c r="B4" s="3" t="s">
        <v>12</v>
      </c>
      <c r="C4" s="3" t="s">
        <v>143</v>
      </c>
      <c r="D4" s="3" t="s">
        <v>0</v>
      </c>
      <c r="E4" s="3" t="s">
        <v>0</v>
      </c>
      <c r="F4" s="7" t="s">
        <v>0</v>
      </c>
      <c r="G4" s="7"/>
      <c r="H4" s="18">
        <f>SUM(H5:H25)</f>
        <v>188412.3058</v>
      </c>
      <c r="I4" s="14"/>
    </row>
    <row r="5" spans="1:32" ht="12.75">
      <c r="A5" s="1" t="s">
        <v>2</v>
      </c>
      <c r="B5" s="1" t="s">
        <v>69</v>
      </c>
      <c r="C5" s="1" t="s">
        <v>144</v>
      </c>
      <c r="D5" s="1" t="s">
        <v>226</v>
      </c>
      <c r="E5" s="1" t="s">
        <v>233</v>
      </c>
      <c r="F5" s="5">
        <v>10.98</v>
      </c>
      <c r="G5" s="13">
        <v>302.71</v>
      </c>
      <c r="H5" s="14">
        <f>F5*G5</f>
        <v>3323.7558</v>
      </c>
      <c r="I5" s="14"/>
      <c r="AE5" s="10">
        <f>295.99*0</f>
        <v>0</v>
      </c>
      <c r="AF5" s="10">
        <f>295.99*(1-0)</f>
        <v>295.99</v>
      </c>
    </row>
    <row r="6" spans="5:32" ht="12.75">
      <c r="E6" s="1" t="s">
        <v>234</v>
      </c>
      <c r="G6" s="13"/>
      <c r="H6" s="14"/>
      <c r="I6" s="14"/>
      <c r="AE6" s="10">
        <f>0*0</f>
        <v>0</v>
      </c>
      <c r="AF6" s="10">
        <f>0*(1-0)</f>
        <v>0</v>
      </c>
    </row>
    <row r="7" spans="5:32" ht="12.75">
      <c r="E7" s="1" t="s">
        <v>235</v>
      </c>
      <c r="G7" s="13"/>
      <c r="H7" s="14"/>
      <c r="I7" s="14"/>
      <c r="AE7" s="10">
        <f>0*0</f>
        <v>0</v>
      </c>
      <c r="AF7" s="10">
        <f>0*(1-0)</f>
        <v>0</v>
      </c>
    </row>
    <row r="8" spans="5:32" ht="12.75">
      <c r="E8" s="1" t="s">
        <v>236</v>
      </c>
      <c r="G8" s="13"/>
      <c r="H8" s="14"/>
      <c r="I8" s="14"/>
      <c r="AE8" s="10">
        <f>0*0</f>
        <v>0</v>
      </c>
      <c r="AF8" s="10">
        <f>0*(1-0)</f>
        <v>0</v>
      </c>
    </row>
    <row r="9" spans="1:32" ht="12.75">
      <c r="A9" s="1" t="s">
        <v>3</v>
      </c>
      <c r="B9" s="1" t="s">
        <v>70</v>
      </c>
      <c r="C9" s="1" t="s">
        <v>145</v>
      </c>
      <c r="D9" s="1" t="s">
        <v>226</v>
      </c>
      <c r="E9" s="1" t="s">
        <v>237</v>
      </c>
      <c r="F9" s="5">
        <v>52</v>
      </c>
      <c r="G9" s="13">
        <v>29.29</v>
      </c>
      <c r="H9" s="14">
        <f>F9*G9</f>
        <v>1523.08</v>
      </c>
      <c r="I9" s="14"/>
      <c r="AE9" s="10">
        <f>36.86*0</f>
        <v>0</v>
      </c>
      <c r="AF9" s="10">
        <f>36.86*(1-0)</f>
        <v>36.86</v>
      </c>
    </row>
    <row r="10" spans="5:32" ht="12.75">
      <c r="E10" s="1" t="s">
        <v>238</v>
      </c>
      <c r="G10" s="13"/>
      <c r="H10" s="14"/>
      <c r="I10" s="14"/>
      <c r="AE10" s="10">
        <f>0*0</f>
        <v>0</v>
      </c>
      <c r="AF10" s="10">
        <f>0*(1-0)</f>
        <v>0</v>
      </c>
    </row>
    <row r="11" spans="1:32" ht="12.75">
      <c r="A11" s="1" t="s">
        <v>4</v>
      </c>
      <c r="B11" s="1" t="s">
        <v>71</v>
      </c>
      <c r="C11" s="1" t="s">
        <v>146</v>
      </c>
      <c r="D11" s="1" t="s">
        <v>226</v>
      </c>
      <c r="E11" s="1" t="s">
        <v>239</v>
      </c>
      <c r="F11" s="5">
        <v>195</v>
      </c>
      <c r="G11" s="13">
        <v>161.89</v>
      </c>
      <c r="H11" s="14">
        <f>F11*G11</f>
        <v>31568.549999999996</v>
      </c>
      <c r="I11" s="14"/>
      <c r="AE11" s="10">
        <f>246.68*0</f>
        <v>0</v>
      </c>
      <c r="AF11" s="10">
        <f>246.68*(1-0)</f>
        <v>246.68</v>
      </c>
    </row>
    <row r="12" spans="1:32" ht="12.75">
      <c r="A12" s="1" t="s">
        <v>5</v>
      </c>
      <c r="B12" s="1" t="s">
        <v>72</v>
      </c>
      <c r="C12" s="1" t="s">
        <v>147</v>
      </c>
      <c r="D12" s="1" t="s">
        <v>226</v>
      </c>
      <c r="E12" s="1" t="s">
        <v>240</v>
      </c>
      <c r="F12" s="5">
        <v>92</v>
      </c>
      <c r="G12" s="13">
        <v>269.93</v>
      </c>
      <c r="H12" s="14">
        <f>F12*G12</f>
        <v>24833.56</v>
      </c>
      <c r="I12" s="14"/>
      <c r="AE12" s="10">
        <f>408.5*0</f>
        <v>0</v>
      </c>
      <c r="AF12" s="10">
        <f>408.5*(1-0)</f>
        <v>408.5</v>
      </c>
    </row>
    <row r="13" spans="5:32" ht="12.75">
      <c r="E13" s="1" t="s">
        <v>241</v>
      </c>
      <c r="G13" s="13"/>
      <c r="H13" s="14"/>
      <c r="I13" s="14"/>
      <c r="AE13" s="10">
        <f>0*0</f>
        <v>0</v>
      </c>
      <c r="AF13" s="10">
        <f>0*(1-0)</f>
        <v>0</v>
      </c>
    </row>
    <row r="14" spans="1:32" ht="12.75">
      <c r="A14" s="1" t="s">
        <v>6</v>
      </c>
      <c r="B14" s="1" t="s">
        <v>73</v>
      </c>
      <c r="C14" s="1" t="s">
        <v>148</v>
      </c>
      <c r="D14" s="1" t="s">
        <v>226</v>
      </c>
      <c r="E14" s="1" t="s">
        <v>242</v>
      </c>
      <c r="F14" s="5">
        <v>52</v>
      </c>
      <c r="G14" s="13">
        <v>323.77</v>
      </c>
      <c r="H14" s="14">
        <f>F14*G14</f>
        <v>16836.04</v>
      </c>
      <c r="I14" s="14"/>
      <c r="AE14" s="10">
        <f>484*0</f>
        <v>0</v>
      </c>
      <c r="AF14" s="10">
        <f>484*(1-0)</f>
        <v>484</v>
      </c>
    </row>
    <row r="15" spans="1:32" ht="12.75">
      <c r="A15" s="1" t="s">
        <v>7</v>
      </c>
      <c r="B15" s="1" t="s">
        <v>74</v>
      </c>
      <c r="C15" s="1" t="s">
        <v>149</v>
      </c>
      <c r="D15" s="1" t="s">
        <v>226</v>
      </c>
      <c r="E15" s="1" t="s">
        <v>243</v>
      </c>
      <c r="F15" s="5">
        <v>92</v>
      </c>
      <c r="G15" s="13">
        <v>95.93</v>
      </c>
      <c r="H15" s="14">
        <f>F15*G15</f>
        <v>8825.560000000001</v>
      </c>
      <c r="I15" s="14"/>
      <c r="AE15" s="10">
        <f>146.34*0</f>
        <v>0</v>
      </c>
      <c r="AF15" s="10">
        <f>146.34*(1-0)</f>
        <v>146.34</v>
      </c>
    </row>
    <row r="16" spans="5:32" ht="12.75">
      <c r="E16" s="1" t="s">
        <v>244</v>
      </c>
      <c r="G16" s="13"/>
      <c r="H16" s="14"/>
      <c r="I16" s="14"/>
      <c r="AE16" s="10">
        <f>0*0</f>
        <v>0</v>
      </c>
      <c r="AF16" s="10">
        <f>0*(1-0)</f>
        <v>0</v>
      </c>
    </row>
    <row r="17" spans="1:32" ht="12.75">
      <c r="A17" s="1" t="s">
        <v>8</v>
      </c>
      <c r="B17" s="1" t="s">
        <v>75</v>
      </c>
      <c r="C17" s="1" t="s">
        <v>150</v>
      </c>
      <c r="D17" s="1" t="s">
        <v>226</v>
      </c>
      <c r="E17" s="1" t="s">
        <v>245</v>
      </c>
      <c r="F17" s="5">
        <v>275</v>
      </c>
      <c r="G17" s="13">
        <v>16.54</v>
      </c>
      <c r="H17" s="14">
        <f>F17*G17</f>
        <v>4548.5</v>
      </c>
      <c r="I17" s="14"/>
      <c r="AE17" s="10">
        <f>21.2*0</f>
        <v>0</v>
      </c>
      <c r="AF17" s="10">
        <f>21.2*(1-0)</f>
        <v>21.2</v>
      </c>
    </row>
    <row r="18" spans="5:32" ht="12.75">
      <c r="E18" s="1" t="s">
        <v>246</v>
      </c>
      <c r="G18" s="13"/>
      <c r="H18" s="14"/>
      <c r="I18" s="14"/>
      <c r="AE18" s="10">
        <f>0*0</f>
        <v>0</v>
      </c>
      <c r="AF18" s="10">
        <f>0*(1-0)</f>
        <v>0</v>
      </c>
    </row>
    <row r="19" spans="1:32" ht="12.75">
      <c r="A19" s="1" t="s">
        <v>9</v>
      </c>
      <c r="B19" s="1" t="s">
        <v>76</v>
      </c>
      <c r="C19" s="1" t="s">
        <v>151</v>
      </c>
      <c r="D19" s="1" t="s">
        <v>226</v>
      </c>
      <c r="E19" s="1" t="s">
        <v>247</v>
      </c>
      <c r="F19" s="5">
        <v>963</v>
      </c>
      <c r="G19" s="13">
        <v>85</v>
      </c>
      <c r="H19" s="14">
        <f>F19*G19</f>
        <v>81855</v>
      </c>
      <c r="I19" s="14"/>
      <c r="AE19" s="10">
        <f>63.3*0</f>
        <v>0</v>
      </c>
      <c r="AF19" s="10">
        <f>63.3*(1-0)</f>
        <v>63.3</v>
      </c>
    </row>
    <row r="20" spans="1:32" ht="12.75">
      <c r="A20" s="1" t="s">
        <v>10</v>
      </c>
      <c r="B20" s="1" t="s">
        <v>77</v>
      </c>
      <c r="C20" s="1" t="s">
        <v>152</v>
      </c>
      <c r="D20" s="1" t="s">
        <v>227</v>
      </c>
      <c r="E20" s="1" t="s">
        <v>248</v>
      </c>
      <c r="F20" s="5">
        <v>362.5</v>
      </c>
      <c r="G20" s="13">
        <v>36.76</v>
      </c>
      <c r="H20" s="14">
        <f>F20*G20</f>
        <v>13325.5</v>
      </c>
      <c r="I20" s="14"/>
      <c r="AE20" s="10">
        <f>52.94*0</f>
        <v>0</v>
      </c>
      <c r="AF20" s="10">
        <f>52.94*(1-0)</f>
        <v>52.94</v>
      </c>
    </row>
    <row r="21" spans="5:32" ht="12.75">
      <c r="E21" s="1" t="s">
        <v>249</v>
      </c>
      <c r="G21" s="13"/>
      <c r="H21" s="14"/>
      <c r="I21" s="14"/>
      <c r="AE21" s="10">
        <f>0*0</f>
        <v>0</v>
      </c>
      <c r="AF21" s="10">
        <f>0*(1-0)</f>
        <v>0</v>
      </c>
    </row>
    <row r="22" spans="5:32" ht="12.75">
      <c r="E22" s="1" t="s">
        <v>250</v>
      </c>
      <c r="G22" s="13"/>
      <c r="H22" s="14"/>
      <c r="I22" s="14"/>
      <c r="AE22" s="10">
        <f>0*0</f>
        <v>0</v>
      </c>
      <c r="AF22" s="10">
        <f>0*(1-0)</f>
        <v>0</v>
      </c>
    </row>
    <row r="23" spans="5:32" ht="12.75">
      <c r="E23" s="1" t="s">
        <v>251</v>
      </c>
      <c r="G23" s="13"/>
      <c r="H23" s="14"/>
      <c r="I23" s="14"/>
      <c r="AE23" s="10">
        <f>0*0</f>
        <v>0</v>
      </c>
      <c r="AF23" s="10">
        <f>0*(1-0)</f>
        <v>0</v>
      </c>
    </row>
    <row r="24" spans="5:32" ht="12.75">
      <c r="E24" s="1" t="s">
        <v>252</v>
      </c>
      <c r="G24" s="13"/>
      <c r="H24" s="14"/>
      <c r="I24" s="14"/>
      <c r="AE24" s="10">
        <f>0*0</f>
        <v>0</v>
      </c>
      <c r="AF24" s="10">
        <f>0*(1-0)</f>
        <v>0</v>
      </c>
    </row>
    <row r="25" spans="1:32" ht="12.75">
      <c r="A25" s="1" t="s">
        <v>11</v>
      </c>
      <c r="B25" s="1" t="s">
        <v>78</v>
      </c>
      <c r="C25" s="1" t="s">
        <v>153</v>
      </c>
      <c r="D25" s="1" t="s">
        <v>227</v>
      </c>
      <c r="E25" s="1" t="s">
        <v>253</v>
      </c>
      <c r="F25" s="5">
        <v>68</v>
      </c>
      <c r="G25" s="13">
        <v>26.07</v>
      </c>
      <c r="H25" s="14">
        <f>F25*G25</f>
        <v>1772.76</v>
      </c>
      <c r="I25" s="14"/>
      <c r="AE25" s="10">
        <f>31.83*0</f>
        <v>0</v>
      </c>
      <c r="AF25" s="10">
        <f>31.83*(1-0)</f>
        <v>31.83</v>
      </c>
    </row>
    <row r="26" spans="1:9" ht="12.75">
      <c r="A26" s="4" t="s">
        <v>0</v>
      </c>
      <c r="B26" s="4" t="s">
        <v>13</v>
      </c>
      <c r="C26" s="4" t="s">
        <v>154</v>
      </c>
      <c r="D26" s="4" t="s">
        <v>0</v>
      </c>
      <c r="E26" s="4" t="s">
        <v>0</v>
      </c>
      <c r="F26" s="8" t="s">
        <v>0</v>
      </c>
      <c r="G26" s="8"/>
      <c r="H26" s="19">
        <f>SUM(H27:H34)</f>
        <v>36194.81019999999</v>
      </c>
      <c r="I26" s="14"/>
    </row>
    <row r="27" spans="1:32" ht="12.75">
      <c r="A27" s="1" t="s">
        <v>12</v>
      </c>
      <c r="B27" s="1" t="s">
        <v>79</v>
      </c>
      <c r="C27" s="1" t="s">
        <v>155</v>
      </c>
      <c r="D27" s="1" t="s">
        <v>228</v>
      </c>
      <c r="E27" s="1" t="s">
        <v>254</v>
      </c>
      <c r="F27" s="5">
        <v>114.83</v>
      </c>
      <c r="G27" s="13">
        <v>85.94</v>
      </c>
      <c r="H27" s="14">
        <f>F27*G27</f>
        <v>9868.4902</v>
      </c>
      <c r="I27" s="14"/>
      <c r="AE27" s="10">
        <f>47.31*0</f>
        <v>0</v>
      </c>
      <c r="AF27" s="10">
        <f>47.31*(1-0)</f>
        <v>47.31</v>
      </c>
    </row>
    <row r="28" spans="5:32" ht="12.75">
      <c r="E28" s="1" t="s">
        <v>255</v>
      </c>
      <c r="G28" s="13"/>
      <c r="H28" s="14"/>
      <c r="I28" s="14"/>
      <c r="AE28" s="10">
        <f>0*0</f>
        <v>0</v>
      </c>
      <c r="AF28" s="10">
        <f>0*(1-0)</f>
        <v>0</v>
      </c>
    </row>
    <row r="29" spans="5:32" ht="12.75">
      <c r="E29" s="1" t="s">
        <v>256</v>
      </c>
      <c r="G29" s="13"/>
      <c r="H29" s="14"/>
      <c r="I29" s="14"/>
      <c r="AE29" s="10">
        <f>0*0</f>
        <v>0</v>
      </c>
      <c r="AF29" s="10">
        <f>0*(1-0)</f>
        <v>0</v>
      </c>
    </row>
    <row r="30" spans="5:32" ht="12.75">
      <c r="E30" s="1" t="s">
        <v>257</v>
      </c>
      <c r="G30" s="13"/>
      <c r="H30" s="14"/>
      <c r="I30" s="14"/>
      <c r="AE30" s="10">
        <f>0*0</f>
        <v>0</v>
      </c>
      <c r="AF30" s="10">
        <f>0*(1-0)</f>
        <v>0</v>
      </c>
    </row>
    <row r="31" spans="1:32" ht="12.75">
      <c r="A31" s="1" t="s">
        <v>13</v>
      </c>
      <c r="B31" s="1" t="s">
        <v>80</v>
      </c>
      <c r="C31" s="1" t="s">
        <v>156</v>
      </c>
      <c r="D31" s="1" t="s">
        <v>228</v>
      </c>
      <c r="E31" s="1" t="s">
        <v>258</v>
      </c>
      <c r="F31" s="5">
        <v>344</v>
      </c>
      <c r="G31" s="13">
        <v>69.17</v>
      </c>
      <c r="H31" s="14">
        <f>F31*G31</f>
        <v>23794.48</v>
      </c>
      <c r="I31" s="14"/>
      <c r="AE31" s="10">
        <f>85.46*0</f>
        <v>0</v>
      </c>
      <c r="AF31" s="10">
        <f>85.46*(1-0)</f>
        <v>85.46</v>
      </c>
    </row>
    <row r="32" spans="5:32" ht="12.75">
      <c r="E32" s="1" t="s">
        <v>259</v>
      </c>
      <c r="G32" s="13"/>
      <c r="H32" s="14"/>
      <c r="I32" s="14"/>
      <c r="AE32" s="10">
        <f>0*0</f>
        <v>0</v>
      </c>
      <c r="AF32" s="10">
        <f>0*(1-0)</f>
        <v>0</v>
      </c>
    </row>
    <row r="33" spans="5:32" ht="12.75">
      <c r="E33" s="1" t="s">
        <v>260</v>
      </c>
      <c r="G33" s="13"/>
      <c r="H33" s="14"/>
      <c r="I33" s="14"/>
      <c r="AE33" s="10">
        <f>0*0</f>
        <v>0</v>
      </c>
      <c r="AF33" s="10">
        <f>0*(1-0)</f>
        <v>0</v>
      </c>
    </row>
    <row r="34" spans="1:32" ht="12.75">
      <c r="A34" s="1" t="s">
        <v>14</v>
      </c>
      <c r="B34" s="1" t="s">
        <v>81</v>
      </c>
      <c r="C34" s="1" t="s">
        <v>157</v>
      </c>
      <c r="D34" s="1" t="s">
        <v>228</v>
      </c>
      <c r="E34" s="1" t="s">
        <v>261</v>
      </c>
      <c r="F34" s="5">
        <v>172</v>
      </c>
      <c r="G34" s="13">
        <v>14.72</v>
      </c>
      <c r="H34" s="14">
        <f>F34*G34</f>
        <v>2531.84</v>
      </c>
      <c r="I34" s="14"/>
      <c r="AE34" s="10">
        <f>28.58*0</f>
        <v>0</v>
      </c>
      <c r="AF34" s="10">
        <f>28.58*(1-0)</f>
        <v>28.58</v>
      </c>
    </row>
    <row r="35" spans="1:9" ht="12.75">
      <c r="A35" s="4" t="s">
        <v>0</v>
      </c>
      <c r="B35" s="4" t="s">
        <v>17</v>
      </c>
      <c r="C35" s="4" t="s">
        <v>158</v>
      </c>
      <c r="D35" s="4" t="s">
        <v>0</v>
      </c>
      <c r="E35" s="4" t="s">
        <v>0</v>
      </c>
      <c r="F35" s="8" t="s">
        <v>0</v>
      </c>
      <c r="G35" s="8"/>
      <c r="H35" s="19">
        <f>SUM(H36:H38)</f>
        <v>127613.68000000001</v>
      </c>
      <c r="I35" s="14"/>
    </row>
    <row r="36" spans="1:32" ht="12.75">
      <c r="A36" s="1" t="s">
        <v>15</v>
      </c>
      <c r="B36" s="1" t="s">
        <v>82</v>
      </c>
      <c r="C36" s="1" t="s">
        <v>159</v>
      </c>
      <c r="D36" s="1" t="s">
        <v>228</v>
      </c>
      <c r="E36" s="1" t="s">
        <v>262</v>
      </c>
      <c r="F36" s="5">
        <v>344</v>
      </c>
      <c r="G36" s="13">
        <v>136.88</v>
      </c>
      <c r="H36" s="14">
        <f>F36*G36</f>
        <v>47086.72</v>
      </c>
      <c r="I36" s="14"/>
      <c r="AE36" s="10">
        <f>246.34*0</f>
        <v>0</v>
      </c>
      <c r="AF36" s="10">
        <f>246.34*(1-0)</f>
        <v>246.34</v>
      </c>
    </row>
    <row r="37" spans="1:32" ht="12.75">
      <c r="A37" s="1" t="s">
        <v>16</v>
      </c>
      <c r="B37" s="1" t="s">
        <v>83</v>
      </c>
      <c r="C37" s="1" t="s">
        <v>160</v>
      </c>
      <c r="D37" s="1" t="s">
        <v>228</v>
      </c>
      <c r="E37" s="1" t="s">
        <v>262</v>
      </c>
      <c r="F37" s="5">
        <v>344</v>
      </c>
      <c r="G37" s="13">
        <v>150</v>
      </c>
      <c r="H37" s="14">
        <f>F37*G37</f>
        <v>51600</v>
      </c>
      <c r="I37" s="14"/>
      <c r="AE37" s="10">
        <f>150.57*0</f>
        <v>0</v>
      </c>
      <c r="AF37" s="10">
        <f>150.57*(1-0)</f>
        <v>150.57</v>
      </c>
    </row>
    <row r="38" spans="1:32" ht="12.75">
      <c r="A38" s="1" t="s">
        <v>17</v>
      </c>
      <c r="B38" s="1" t="s">
        <v>84</v>
      </c>
      <c r="C38" s="1" t="s">
        <v>161</v>
      </c>
      <c r="D38" s="1" t="s">
        <v>228</v>
      </c>
      <c r="E38" s="1" t="s">
        <v>262</v>
      </c>
      <c r="F38" s="5">
        <v>344</v>
      </c>
      <c r="G38" s="13">
        <v>84.09</v>
      </c>
      <c r="H38" s="14">
        <f>F38*G38</f>
        <v>28926.960000000003</v>
      </c>
      <c r="I38" s="14"/>
      <c r="AE38" s="10">
        <f>162.42*0</f>
        <v>0</v>
      </c>
      <c r="AF38" s="10">
        <f>162.42*(1-0)</f>
        <v>162.42</v>
      </c>
    </row>
    <row r="39" spans="1:9" ht="12.75">
      <c r="A39" s="4" t="s">
        <v>0</v>
      </c>
      <c r="B39" s="4" t="s">
        <v>19</v>
      </c>
      <c r="C39" s="4" t="s">
        <v>162</v>
      </c>
      <c r="D39" s="4" t="s">
        <v>0</v>
      </c>
      <c r="E39" s="4" t="s">
        <v>0</v>
      </c>
      <c r="F39" s="8" t="s">
        <v>0</v>
      </c>
      <c r="G39" s="8"/>
      <c r="H39" s="19">
        <f>SUM(H40)</f>
        <v>14735.95</v>
      </c>
      <c r="I39" s="14"/>
    </row>
    <row r="40" spans="1:32" ht="12.75">
      <c r="A40" s="1" t="s">
        <v>18</v>
      </c>
      <c r="B40" s="1" t="s">
        <v>85</v>
      </c>
      <c r="C40" s="1" t="s">
        <v>163</v>
      </c>
      <c r="D40" s="1" t="s">
        <v>226</v>
      </c>
      <c r="E40" s="1" t="s">
        <v>263</v>
      </c>
      <c r="F40" s="5">
        <v>995</v>
      </c>
      <c r="G40" s="13">
        <v>14.81</v>
      </c>
      <c r="H40" s="14">
        <f>F40*G40</f>
        <v>14735.95</v>
      </c>
      <c r="I40" s="14"/>
      <c r="AE40" s="10">
        <f>9.59*0</f>
        <v>0</v>
      </c>
      <c r="AF40" s="10">
        <f>9.59*(1-0)</f>
        <v>9.59</v>
      </c>
    </row>
    <row r="41" spans="1:9" ht="12.75">
      <c r="A41" s="4" t="s">
        <v>0</v>
      </c>
      <c r="B41" s="4" t="s">
        <v>28</v>
      </c>
      <c r="C41" s="4" t="s">
        <v>164</v>
      </c>
      <c r="D41" s="4" t="s">
        <v>0</v>
      </c>
      <c r="E41" s="4" t="s">
        <v>0</v>
      </c>
      <c r="F41" s="8" t="s">
        <v>0</v>
      </c>
      <c r="G41" s="8"/>
      <c r="H41" s="19">
        <f>SUM(H42)</f>
        <v>201.7912</v>
      </c>
      <c r="I41" s="14"/>
    </row>
    <row r="42" spans="1:32" ht="12.75">
      <c r="A42" s="1" t="s">
        <v>19</v>
      </c>
      <c r="B42" s="1" t="s">
        <v>86</v>
      </c>
      <c r="C42" s="1" t="s">
        <v>165</v>
      </c>
      <c r="D42" s="1" t="s">
        <v>228</v>
      </c>
      <c r="E42" s="1" t="s">
        <v>264</v>
      </c>
      <c r="F42" s="5">
        <v>0.26</v>
      </c>
      <c r="G42" s="13">
        <v>776.12</v>
      </c>
      <c r="H42" s="14">
        <f>F42*G42</f>
        <v>201.7912</v>
      </c>
      <c r="I42" s="14"/>
      <c r="AE42" s="10">
        <f>775.69*0.581147107736338</f>
        <v>450.7900000000001</v>
      </c>
      <c r="AF42" s="10">
        <f>775.69*(1-0.581147107736338)</f>
        <v>324.9</v>
      </c>
    </row>
    <row r="43" spans="1:9" ht="12.75">
      <c r="A43" s="4" t="s">
        <v>0</v>
      </c>
      <c r="B43" s="4" t="s">
        <v>57</v>
      </c>
      <c r="C43" s="4" t="s">
        <v>166</v>
      </c>
      <c r="D43" s="4" t="s">
        <v>0</v>
      </c>
      <c r="E43" s="4" t="s">
        <v>0</v>
      </c>
      <c r="F43" s="8" t="s">
        <v>0</v>
      </c>
      <c r="G43" s="8"/>
      <c r="H43" s="19">
        <f>SUM(H44:H53)</f>
        <v>435404.4</v>
      </c>
      <c r="I43" s="14"/>
    </row>
    <row r="44" spans="1:32" ht="12.75">
      <c r="A44" s="1" t="s">
        <v>20</v>
      </c>
      <c r="B44" s="1" t="s">
        <v>87</v>
      </c>
      <c r="C44" s="1" t="s">
        <v>167</v>
      </c>
      <c r="D44" s="1" t="s">
        <v>226</v>
      </c>
      <c r="E44" s="1" t="s">
        <v>265</v>
      </c>
      <c r="F44" s="5">
        <v>687</v>
      </c>
      <c r="G44" s="13">
        <v>210</v>
      </c>
      <c r="H44" s="14">
        <f>F44*G44</f>
        <v>144270</v>
      </c>
      <c r="I44" s="14"/>
      <c r="AE44" s="10">
        <f>231.5*0.818444924406048</f>
        <v>189.4700000000001</v>
      </c>
      <c r="AF44" s="10">
        <f>231.5*(1-0.818444924406048)</f>
        <v>42.02999999999989</v>
      </c>
    </row>
    <row r="45" spans="5:32" ht="12.75">
      <c r="E45" s="1" t="s">
        <v>266</v>
      </c>
      <c r="G45" s="13"/>
      <c r="H45" s="14"/>
      <c r="I45" s="14"/>
      <c r="AE45" s="10">
        <f>0*0.818444924406048</f>
        <v>0</v>
      </c>
      <c r="AF45" s="10">
        <f>0*(1-0.818444924406048)</f>
        <v>0</v>
      </c>
    </row>
    <row r="46" spans="1:32" ht="12.75">
      <c r="A46" s="1" t="s">
        <v>21</v>
      </c>
      <c r="B46" s="1" t="s">
        <v>88</v>
      </c>
      <c r="C46" s="1" t="s">
        <v>168</v>
      </c>
      <c r="D46" s="1" t="s">
        <v>226</v>
      </c>
      <c r="E46" s="1" t="s">
        <v>267</v>
      </c>
      <c r="F46" s="5">
        <v>1020</v>
      </c>
      <c r="G46" s="13">
        <v>118.5</v>
      </c>
      <c r="H46" s="14">
        <f>F46*G46</f>
        <v>120870</v>
      </c>
      <c r="I46" s="14"/>
      <c r="AE46" s="10">
        <f>136.81*0.840508734741612</f>
        <v>114.98999999999994</v>
      </c>
      <c r="AF46" s="10">
        <f>136.81*(1-0.840508734741612)</f>
        <v>21.820000000000057</v>
      </c>
    </row>
    <row r="47" spans="5:32" ht="12.75">
      <c r="E47" s="1" t="s">
        <v>268</v>
      </c>
      <c r="G47" s="13"/>
      <c r="H47" s="14"/>
      <c r="I47" s="14"/>
      <c r="AE47" s="10">
        <f>0*0.840508734741612</f>
        <v>0</v>
      </c>
      <c r="AF47" s="10">
        <f>0*(1-0.840508734741612)</f>
        <v>0</v>
      </c>
    </row>
    <row r="48" spans="5:32" ht="12.75">
      <c r="E48" s="1" t="s">
        <v>269</v>
      </c>
      <c r="G48" s="13"/>
      <c r="H48" s="14"/>
      <c r="I48" s="14"/>
      <c r="AE48" s="10">
        <f>0*0.840508734741612</f>
        <v>0</v>
      </c>
      <c r="AF48" s="10">
        <f>0*(1-0.840508734741612)</f>
        <v>0</v>
      </c>
    </row>
    <row r="49" spans="5:32" ht="12.75">
      <c r="E49" s="1" t="s">
        <v>270</v>
      </c>
      <c r="G49" s="13"/>
      <c r="H49" s="14"/>
      <c r="I49" s="14"/>
      <c r="AE49" s="10">
        <f>0*0.840508734741612</f>
        <v>0</v>
      </c>
      <c r="AF49" s="10">
        <f>0*(1-0.840508734741612)</f>
        <v>0</v>
      </c>
    </row>
    <row r="50" spans="5:32" ht="12.75">
      <c r="E50" s="1" t="s">
        <v>271</v>
      </c>
      <c r="G50" s="13"/>
      <c r="H50" s="14"/>
      <c r="I50" s="14"/>
      <c r="AE50" s="10">
        <f>0*0.840508734741612</f>
        <v>0</v>
      </c>
      <c r="AF50" s="10">
        <f>0*(1-0.840508734741612)</f>
        <v>0</v>
      </c>
    </row>
    <row r="51" spans="1:32" ht="12.75">
      <c r="A51" s="1" t="s">
        <v>22</v>
      </c>
      <c r="B51" s="1" t="s">
        <v>89</v>
      </c>
      <c r="C51" s="1" t="s">
        <v>169</v>
      </c>
      <c r="D51" s="1" t="s">
        <v>226</v>
      </c>
      <c r="E51" s="1" t="s">
        <v>265</v>
      </c>
      <c r="F51" s="5">
        <v>713</v>
      </c>
      <c r="G51" s="13">
        <v>238.8</v>
      </c>
      <c r="H51" s="14">
        <f>F51*G51</f>
        <v>170264.4</v>
      </c>
      <c r="I51" s="14"/>
      <c r="AE51" s="10">
        <f>334.01*0.876201311337984</f>
        <v>292.66</v>
      </c>
      <c r="AF51" s="10">
        <f>334.01*(1-0.876201311337984)</f>
        <v>41.34999999999998</v>
      </c>
    </row>
    <row r="52" spans="5:32" ht="12.75">
      <c r="E52" s="1" t="s">
        <v>272</v>
      </c>
      <c r="G52" s="13"/>
      <c r="H52" s="14"/>
      <c r="I52" s="14"/>
      <c r="AE52" s="10">
        <f>0*0.876201311337984</f>
        <v>0</v>
      </c>
      <c r="AF52" s="10">
        <f>0*(1-0.876201311337984)</f>
        <v>0</v>
      </c>
    </row>
    <row r="53" spans="5:32" ht="12.75">
      <c r="E53" s="1" t="s">
        <v>273</v>
      </c>
      <c r="G53" s="13"/>
      <c r="H53" s="14"/>
      <c r="I53" s="14"/>
      <c r="AE53" s="10">
        <f>0*0.876201311337984</f>
        <v>0</v>
      </c>
      <c r="AF53" s="10">
        <f>0*(1-0.876201311337984)</f>
        <v>0</v>
      </c>
    </row>
    <row r="54" spans="1:9" ht="12.75">
      <c r="A54" s="4" t="s">
        <v>0</v>
      </c>
      <c r="B54" s="4" t="s">
        <v>58</v>
      </c>
      <c r="C54" s="4" t="s">
        <v>170</v>
      </c>
      <c r="D54" s="4" t="s">
        <v>0</v>
      </c>
      <c r="E54" s="4" t="s">
        <v>0</v>
      </c>
      <c r="F54" s="8" t="s">
        <v>0</v>
      </c>
      <c r="G54" s="8"/>
      <c r="H54" s="19">
        <f>SUM(H55:H59)</f>
        <v>311388.29000000004</v>
      </c>
      <c r="I54" s="14"/>
    </row>
    <row r="55" spans="1:32" ht="12.75">
      <c r="A55" s="1" t="s">
        <v>23</v>
      </c>
      <c r="B55" s="1" t="s">
        <v>90</v>
      </c>
      <c r="C55" s="1" t="s">
        <v>171</v>
      </c>
      <c r="D55" s="1" t="s">
        <v>226</v>
      </c>
      <c r="E55" s="1" t="s">
        <v>274</v>
      </c>
      <c r="F55" s="5">
        <v>2336</v>
      </c>
      <c r="G55" s="13">
        <v>12.61</v>
      </c>
      <c r="H55" s="14">
        <f>F55*G55</f>
        <v>29456.96</v>
      </c>
      <c r="I55" s="14"/>
      <c r="AE55" s="10">
        <f>7.99*0.903629536921151</f>
        <v>7.219999999999997</v>
      </c>
      <c r="AF55" s="10">
        <f>7.99*(1-0.903629536921151)</f>
        <v>0.7700000000000036</v>
      </c>
    </row>
    <row r="56" spans="5:32" ht="12.75">
      <c r="E56" s="1" t="s">
        <v>275</v>
      </c>
      <c r="G56" s="13"/>
      <c r="H56" s="14"/>
      <c r="I56" s="14"/>
      <c r="AE56" s="10">
        <f>0*0.903629536921151</f>
        <v>0</v>
      </c>
      <c r="AF56" s="10">
        <f>0*(1-0.903629536921151)</f>
        <v>0</v>
      </c>
    </row>
    <row r="57" spans="1:32" ht="12.75">
      <c r="A57" s="1" t="s">
        <v>24</v>
      </c>
      <c r="B57" s="1" t="s">
        <v>91</v>
      </c>
      <c r="C57" s="1" t="s">
        <v>172</v>
      </c>
      <c r="D57" s="1" t="s">
        <v>226</v>
      </c>
      <c r="E57" s="1" t="s">
        <v>265</v>
      </c>
      <c r="F57" s="5">
        <v>1623</v>
      </c>
      <c r="G57" s="13">
        <v>173.71</v>
      </c>
      <c r="H57" s="14">
        <f>F57*G57</f>
        <v>281931.33</v>
      </c>
      <c r="I57" s="14"/>
      <c r="AE57" s="10">
        <f>213.99*0.911678115799804</f>
        <v>195.09000000000006</v>
      </c>
      <c r="AF57" s="10">
        <f>213.99*(1-0.911678115799804)</f>
        <v>18.899999999999952</v>
      </c>
    </row>
    <row r="58" spans="5:32" ht="12.75">
      <c r="E58" s="1" t="s">
        <v>276</v>
      </c>
      <c r="G58" s="13"/>
      <c r="H58" s="14"/>
      <c r="I58" s="14"/>
      <c r="AE58" s="10">
        <f>0*0.911678115799804</f>
        <v>0</v>
      </c>
      <c r="AF58" s="10">
        <f>0*(1-0.911678115799804)</f>
        <v>0</v>
      </c>
    </row>
    <row r="59" spans="5:32" ht="12.75">
      <c r="E59" s="1" t="s">
        <v>277</v>
      </c>
      <c r="G59" s="13"/>
      <c r="H59" s="14"/>
      <c r="I59" s="14"/>
      <c r="AE59" s="10">
        <f>0*0.911678115799804</f>
        <v>0</v>
      </c>
      <c r="AF59" s="10">
        <f>0*(1-0.911678115799804)</f>
        <v>0</v>
      </c>
    </row>
    <row r="60" spans="1:9" ht="12.75">
      <c r="A60" s="4" t="s">
        <v>0</v>
      </c>
      <c r="B60" s="4" t="s">
        <v>60</v>
      </c>
      <c r="C60" s="4" t="s">
        <v>173</v>
      </c>
      <c r="D60" s="4" t="s">
        <v>0</v>
      </c>
      <c r="E60" s="4" t="s">
        <v>0</v>
      </c>
      <c r="F60" s="8" t="s">
        <v>0</v>
      </c>
      <c r="G60" s="8"/>
      <c r="H60" s="19">
        <f>SUM(H61:H78)</f>
        <v>173237.71300000002</v>
      </c>
      <c r="I60" s="14"/>
    </row>
    <row r="61" spans="1:32" ht="12.75">
      <c r="A61" s="1" t="s">
        <v>25</v>
      </c>
      <c r="B61" s="1" t="s">
        <v>92</v>
      </c>
      <c r="C61" s="1" t="s">
        <v>174</v>
      </c>
      <c r="D61" s="1" t="s">
        <v>226</v>
      </c>
      <c r="E61" s="1" t="s">
        <v>278</v>
      </c>
      <c r="F61" s="5">
        <v>32</v>
      </c>
      <c r="G61" s="13">
        <v>329.78</v>
      </c>
      <c r="H61" s="14">
        <f>F61*G61</f>
        <v>10552.96</v>
      </c>
      <c r="I61" s="14"/>
      <c r="AE61" s="10">
        <f>343*0.581749271137026</f>
        <v>199.53999999999994</v>
      </c>
      <c r="AF61" s="10">
        <f>343*(1-0.581749271137026)</f>
        <v>143.46000000000006</v>
      </c>
    </row>
    <row r="62" spans="1:32" ht="12.75">
      <c r="A62" s="1" t="s">
        <v>26</v>
      </c>
      <c r="B62" s="1" t="s">
        <v>93</v>
      </c>
      <c r="C62" s="1" t="s">
        <v>175</v>
      </c>
      <c r="D62" s="1" t="s">
        <v>226</v>
      </c>
      <c r="E62" s="1" t="s">
        <v>279</v>
      </c>
      <c r="F62" s="5">
        <v>3.22</v>
      </c>
      <c r="G62" s="13">
        <v>464.59</v>
      </c>
      <c r="H62" s="14">
        <f>F62*G62</f>
        <v>1495.9798</v>
      </c>
      <c r="I62" s="14"/>
      <c r="AE62" s="10">
        <f>564*0.603581560283688</f>
        <v>340.4200000000001</v>
      </c>
      <c r="AF62" s="10">
        <f>564*(1-0.603581560283688)</f>
        <v>223.57999999999996</v>
      </c>
    </row>
    <row r="63" spans="5:32" ht="12.75">
      <c r="E63" s="1" t="s">
        <v>280</v>
      </c>
      <c r="G63" s="13"/>
      <c r="H63" s="14"/>
      <c r="I63" s="14"/>
      <c r="AE63" s="10">
        <f>0*0.603581560283688</f>
        <v>0</v>
      </c>
      <c r="AF63" s="10">
        <f>0*(1-0.603581560283688)</f>
        <v>0</v>
      </c>
    </row>
    <row r="64" spans="5:32" ht="12.75">
      <c r="E64" s="1" t="s">
        <v>281</v>
      </c>
      <c r="G64" s="13"/>
      <c r="H64" s="14"/>
      <c r="I64" s="14"/>
      <c r="AE64" s="10">
        <f>0*0.603581560283688</f>
        <v>0</v>
      </c>
      <c r="AF64" s="10">
        <f>0*(1-0.603581560283688)</f>
        <v>0</v>
      </c>
    </row>
    <row r="65" spans="1:32" ht="12.75">
      <c r="A65" s="2" t="s">
        <v>27</v>
      </c>
      <c r="B65" s="2" t="s">
        <v>94</v>
      </c>
      <c r="C65" s="2" t="s">
        <v>176</v>
      </c>
      <c r="D65" s="2" t="s">
        <v>229</v>
      </c>
      <c r="E65" s="2" t="s">
        <v>282</v>
      </c>
      <c r="F65" s="6">
        <v>258.59</v>
      </c>
      <c r="G65" s="13">
        <v>66.66</v>
      </c>
      <c r="H65" s="14">
        <f>F65*G65</f>
        <v>17237.609399999998</v>
      </c>
      <c r="I65" s="14"/>
      <c r="AE65" s="11">
        <f>54.82*1</f>
        <v>54.82</v>
      </c>
      <c r="AF65" s="11">
        <f>54.82*(1-1)</f>
        <v>0</v>
      </c>
    </row>
    <row r="66" spans="5:32" ht="12.75">
      <c r="E66" s="2" t="s">
        <v>283</v>
      </c>
      <c r="G66" s="13"/>
      <c r="H66" s="14"/>
      <c r="I66" s="14"/>
      <c r="AE66" s="11">
        <f>0*1</f>
        <v>0</v>
      </c>
      <c r="AF66" s="11">
        <f>0*(1-1)</f>
        <v>0</v>
      </c>
    </row>
    <row r="67" spans="1:32" ht="12.75">
      <c r="A67" s="2" t="s">
        <v>28</v>
      </c>
      <c r="B67" s="2" t="s">
        <v>95</v>
      </c>
      <c r="C67" s="2" t="s">
        <v>177</v>
      </c>
      <c r="D67" s="2" t="s">
        <v>226</v>
      </c>
      <c r="E67" s="2" t="s">
        <v>268</v>
      </c>
      <c r="F67" s="6">
        <v>219.19</v>
      </c>
      <c r="G67" s="13">
        <v>204.02</v>
      </c>
      <c r="H67" s="14">
        <f>F67*G67</f>
        <v>44719.143800000005</v>
      </c>
      <c r="I67" s="14"/>
      <c r="AE67" s="11">
        <f>208.05*1</f>
        <v>208.05</v>
      </c>
      <c r="AF67" s="11">
        <f>208.05*(1-1)</f>
        <v>0</v>
      </c>
    </row>
    <row r="68" spans="5:32" ht="12.75">
      <c r="E68" s="2" t="s">
        <v>284</v>
      </c>
      <c r="G68" s="13"/>
      <c r="H68" s="14"/>
      <c r="I68" s="14"/>
      <c r="AE68" s="11">
        <f>0*1</f>
        <v>0</v>
      </c>
      <c r="AF68" s="11">
        <f>0*(1-1)</f>
        <v>0</v>
      </c>
    </row>
    <row r="69" spans="5:32" ht="12.75">
      <c r="E69" s="2" t="s">
        <v>285</v>
      </c>
      <c r="G69" s="13"/>
      <c r="H69" s="14"/>
      <c r="I69" s="14"/>
      <c r="AE69" s="11">
        <f>0*1</f>
        <v>0</v>
      </c>
      <c r="AF69" s="11">
        <f>0*(1-1)</f>
        <v>0</v>
      </c>
    </row>
    <row r="70" spans="1:32" ht="12.75">
      <c r="A70" s="1" t="s">
        <v>29</v>
      </c>
      <c r="B70" s="1" t="s">
        <v>96</v>
      </c>
      <c r="C70" s="1" t="s">
        <v>178</v>
      </c>
      <c r="D70" s="1" t="s">
        <v>226</v>
      </c>
      <c r="E70" s="1" t="s">
        <v>286</v>
      </c>
      <c r="F70" s="5">
        <v>217</v>
      </c>
      <c r="G70" s="13">
        <v>198.5</v>
      </c>
      <c r="H70" s="14">
        <f aca="true" t="shared" si="0" ref="H70:H133">F70*G70</f>
        <v>43074.5</v>
      </c>
      <c r="I70" s="14"/>
      <c r="AE70" s="10">
        <f>218.8*0.170978062157221</f>
        <v>37.409999999999954</v>
      </c>
      <c r="AF70" s="10">
        <f>218.8*(1-0.170978062157221)</f>
        <v>181.39000000000004</v>
      </c>
    </row>
    <row r="71" spans="1:32" ht="12.75">
      <c r="A71" s="1" t="s">
        <v>30</v>
      </c>
      <c r="B71" s="1" t="s">
        <v>97</v>
      </c>
      <c r="C71" s="1" t="s">
        <v>179</v>
      </c>
      <c r="D71" s="1" t="s">
        <v>226</v>
      </c>
      <c r="E71" s="1" t="s">
        <v>287</v>
      </c>
      <c r="F71" s="5">
        <v>12</v>
      </c>
      <c r="G71" s="13">
        <v>215.41</v>
      </c>
      <c r="H71" s="14">
        <f t="shared" si="0"/>
        <v>2584.92</v>
      </c>
      <c r="I71" s="14"/>
      <c r="AE71" s="10">
        <f>208.64*0.150786042944785</f>
        <v>31.459999999999944</v>
      </c>
      <c r="AF71" s="10">
        <f>208.64*(1-0.150786042944785)</f>
        <v>177.18000000000004</v>
      </c>
    </row>
    <row r="72" spans="1:32" ht="12.75">
      <c r="A72" s="1" t="s">
        <v>31</v>
      </c>
      <c r="B72" s="1" t="s">
        <v>98</v>
      </c>
      <c r="C72" s="1" t="s">
        <v>180</v>
      </c>
      <c r="D72" s="1" t="s">
        <v>229</v>
      </c>
      <c r="E72" s="1" t="s">
        <v>288</v>
      </c>
      <c r="F72" s="5">
        <v>4</v>
      </c>
      <c r="G72" s="13">
        <v>4250</v>
      </c>
      <c r="H72" s="14">
        <f t="shared" si="0"/>
        <v>17000</v>
      </c>
      <c r="I72" s="14"/>
      <c r="AE72" s="10">
        <f>3070*0.958954397394137</f>
        <v>2943.9900000000007</v>
      </c>
      <c r="AF72" s="10">
        <f>3070*(1-0.958954397394137)</f>
        <v>126.00999999999937</v>
      </c>
    </row>
    <row r="73" spans="5:32" ht="12.75">
      <c r="E73" s="1" t="s">
        <v>289</v>
      </c>
      <c r="G73" s="13"/>
      <c r="H73" s="14"/>
      <c r="I73" s="14"/>
      <c r="AE73" s="10">
        <f>0*0.958954397394137</f>
        <v>0</v>
      </c>
      <c r="AF73" s="10">
        <f>0*(1-0.958954397394137)</f>
        <v>0</v>
      </c>
    </row>
    <row r="74" spans="1:32" ht="12.75">
      <c r="A74" s="1" t="s">
        <v>32</v>
      </c>
      <c r="B74" s="1" t="s">
        <v>99</v>
      </c>
      <c r="C74" s="1" t="s">
        <v>181</v>
      </c>
      <c r="D74" s="1" t="s">
        <v>229</v>
      </c>
      <c r="E74" s="1" t="s">
        <v>3</v>
      </c>
      <c r="F74" s="5">
        <v>2</v>
      </c>
      <c r="G74" s="13">
        <v>5800</v>
      </c>
      <c r="H74" s="14">
        <f t="shared" si="0"/>
        <v>11600</v>
      </c>
      <c r="I74" s="14"/>
      <c r="AE74" s="10">
        <f>5390*0.976621521335807</f>
        <v>5263.99</v>
      </c>
      <c r="AF74" s="10">
        <f>5390*(1-0.976621521335807)</f>
        <v>126.01000000000005</v>
      </c>
    </row>
    <row r="75" spans="1:32" ht="12.75">
      <c r="A75" s="1" t="s">
        <v>33</v>
      </c>
      <c r="B75" s="1" t="s">
        <v>100</v>
      </c>
      <c r="C75" s="1" t="s">
        <v>182</v>
      </c>
      <c r="D75" s="1" t="s">
        <v>229</v>
      </c>
      <c r="E75" s="1" t="s">
        <v>3</v>
      </c>
      <c r="F75" s="5">
        <v>2</v>
      </c>
      <c r="G75" s="13">
        <v>1020</v>
      </c>
      <c r="H75" s="14">
        <f t="shared" si="0"/>
        <v>2040</v>
      </c>
      <c r="I75" s="14"/>
      <c r="AE75" s="10">
        <f>386.5*0.984346701164295</f>
        <v>380.45000000000005</v>
      </c>
      <c r="AF75" s="10">
        <f>386.5*(1-0.984346701164295)</f>
        <v>6.049999999999978</v>
      </c>
    </row>
    <row r="76" spans="1:32" ht="12.75">
      <c r="A76" s="1" t="s">
        <v>34</v>
      </c>
      <c r="B76" s="1" t="s">
        <v>101</v>
      </c>
      <c r="C76" s="1" t="s">
        <v>183</v>
      </c>
      <c r="D76" s="1" t="s">
        <v>229</v>
      </c>
      <c r="E76" s="1" t="s">
        <v>290</v>
      </c>
      <c r="F76" s="5">
        <v>10</v>
      </c>
      <c r="G76" s="13">
        <v>1550</v>
      </c>
      <c r="H76" s="14">
        <f t="shared" si="0"/>
        <v>15500</v>
      </c>
      <c r="I76" s="14"/>
      <c r="AE76" s="10">
        <f>1891*0.992004230565838</f>
        <v>1875.8799999999997</v>
      </c>
      <c r="AF76" s="10">
        <f>1891*(1-0.992004230565838)</f>
        <v>15.12000000000039</v>
      </c>
    </row>
    <row r="77" spans="1:32" ht="12.75">
      <c r="A77" s="1" t="s">
        <v>35</v>
      </c>
      <c r="B77" s="1" t="s">
        <v>102</v>
      </c>
      <c r="C77" s="1" t="s">
        <v>184</v>
      </c>
      <c r="D77" s="1" t="s">
        <v>229</v>
      </c>
      <c r="E77" s="1" t="s">
        <v>3</v>
      </c>
      <c r="F77" s="5">
        <v>2</v>
      </c>
      <c r="G77" s="13">
        <v>2150</v>
      </c>
      <c r="H77" s="14">
        <f t="shared" si="0"/>
        <v>4300</v>
      </c>
      <c r="I77" s="14"/>
      <c r="AE77" s="10">
        <f>875*0.993782857142857</f>
        <v>869.5599999999998</v>
      </c>
      <c r="AF77" s="10">
        <f>875*(1-0.993782857142857)</f>
        <v>5.440000000000153</v>
      </c>
    </row>
    <row r="78" spans="1:32" ht="12.75">
      <c r="A78" s="1" t="s">
        <v>36</v>
      </c>
      <c r="B78" s="1" t="s">
        <v>103</v>
      </c>
      <c r="C78" s="1" t="s">
        <v>185</v>
      </c>
      <c r="D78" s="1" t="s">
        <v>227</v>
      </c>
      <c r="E78" s="1" t="s">
        <v>291</v>
      </c>
      <c r="F78" s="5">
        <v>6</v>
      </c>
      <c r="G78" s="13">
        <v>522.1</v>
      </c>
      <c r="H78" s="14">
        <f t="shared" si="0"/>
        <v>3132.6000000000004</v>
      </c>
      <c r="I78" s="14"/>
      <c r="AE78" s="10">
        <f>429.5*0.576786961583236</f>
        <v>247.72999999999985</v>
      </c>
      <c r="AF78" s="10">
        <f>429.5*(1-0.576786961583236)</f>
        <v>181.77000000000015</v>
      </c>
    </row>
    <row r="79" spans="1:9" ht="12.75">
      <c r="A79" s="4" t="s">
        <v>0</v>
      </c>
      <c r="B79" s="4" t="s">
        <v>104</v>
      </c>
      <c r="C79" s="4" t="s">
        <v>186</v>
      </c>
      <c r="D79" s="4" t="s">
        <v>0</v>
      </c>
      <c r="E79" s="4" t="s">
        <v>0</v>
      </c>
      <c r="F79" s="8" t="s">
        <v>0</v>
      </c>
      <c r="G79" s="8"/>
      <c r="H79" s="19">
        <f>SUM(H80)</f>
        <v>5220</v>
      </c>
      <c r="I79" s="14"/>
    </row>
    <row r="80" spans="1:32" ht="12.75">
      <c r="A80" s="1" t="s">
        <v>37</v>
      </c>
      <c r="B80" s="1" t="s">
        <v>105</v>
      </c>
      <c r="C80" s="1" t="s">
        <v>187</v>
      </c>
      <c r="D80" s="1" t="s">
        <v>229</v>
      </c>
      <c r="E80" s="1" t="s">
        <v>5</v>
      </c>
      <c r="F80" s="5">
        <v>4</v>
      </c>
      <c r="G80" s="13">
        <v>1305</v>
      </c>
      <c r="H80" s="14">
        <f t="shared" si="0"/>
        <v>5220</v>
      </c>
      <c r="I80" s="14"/>
      <c r="AE80" s="10">
        <f>7395.01*0.828039448222518</f>
        <v>6123.360000000002</v>
      </c>
      <c r="AF80" s="10">
        <f>7395.01*(1-0.828039448222518)</f>
        <v>1271.6499999999976</v>
      </c>
    </row>
    <row r="81" spans="1:9" ht="12.75">
      <c r="A81" s="4" t="s">
        <v>0</v>
      </c>
      <c r="B81" s="4" t="s">
        <v>106</v>
      </c>
      <c r="C81" s="4" t="s">
        <v>188</v>
      </c>
      <c r="D81" s="4" t="s">
        <v>0</v>
      </c>
      <c r="E81" s="4" t="s">
        <v>0</v>
      </c>
      <c r="F81" s="8" t="s">
        <v>0</v>
      </c>
      <c r="G81" s="8"/>
      <c r="H81" s="19">
        <f>SUM(H82:H83)</f>
        <v>89250</v>
      </c>
      <c r="I81" s="14"/>
    </row>
    <row r="82" spans="1:32" ht="12.75">
      <c r="A82" s="1" t="s">
        <v>38</v>
      </c>
      <c r="B82" s="1" t="s">
        <v>107</v>
      </c>
      <c r="C82" s="1" t="s">
        <v>189</v>
      </c>
      <c r="D82" s="1" t="s">
        <v>230</v>
      </c>
      <c r="E82" s="1" t="s">
        <v>292</v>
      </c>
      <c r="F82" s="5">
        <v>357</v>
      </c>
      <c r="G82" s="13">
        <v>250</v>
      </c>
      <c r="H82" s="14">
        <f t="shared" si="0"/>
        <v>89250</v>
      </c>
      <c r="I82" s="14"/>
      <c r="AE82" s="10">
        <f>198*1</f>
        <v>198</v>
      </c>
      <c r="AF82" s="10">
        <f>198*(1-1)</f>
        <v>0</v>
      </c>
    </row>
    <row r="83" spans="5:32" ht="12.75">
      <c r="E83" s="1" t="s">
        <v>293</v>
      </c>
      <c r="G83" s="13"/>
      <c r="H83" s="14"/>
      <c r="I83" s="14"/>
      <c r="AE83" s="10">
        <f>0*1</f>
        <v>0</v>
      </c>
      <c r="AF83" s="10">
        <f>0*(1-1)</f>
        <v>0</v>
      </c>
    </row>
    <row r="84" spans="1:9" ht="12.75">
      <c r="A84" s="4" t="s">
        <v>0</v>
      </c>
      <c r="B84" s="4" t="s">
        <v>108</v>
      </c>
      <c r="C84" s="4" t="s">
        <v>190</v>
      </c>
      <c r="D84" s="4" t="s">
        <v>0</v>
      </c>
      <c r="E84" s="4" t="s">
        <v>0</v>
      </c>
      <c r="F84" s="8" t="s">
        <v>0</v>
      </c>
      <c r="G84" s="8"/>
      <c r="H84" s="19">
        <f>SUM(H85:H98)</f>
        <v>262619.77890000003</v>
      </c>
      <c r="I84" s="14"/>
    </row>
    <row r="85" spans="1:32" ht="12.75">
      <c r="A85" s="2" t="s">
        <v>39</v>
      </c>
      <c r="B85" s="2" t="s">
        <v>109</v>
      </c>
      <c r="C85" s="2" t="s">
        <v>191</v>
      </c>
      <c r="D85" s="2" t="s">
        <v>229</v>
      </c>
      <c r="E85" s="2" t="s">
        <v>294</v>
      </c>
      <c r="F85" s="6">
        <v>247.45</v>
      </c>
      <c r="G85" s="13">
        <v>102.01</v>
      </c>
      <c r="H85" s="14">
        <f t="shared" si="0"/>
        <v>25242.3745</v>
      </c>
      <c r="I85" s="14"/>
      <c r="AE85" s="11">
        <f>108.06*1</f>
        <v>108.06</v>
      </c>
      <c r="AF85" s="11">
        <f>108.06*(1-1)</f>
        <v>0</v>
      </c>
    </row>
    <row r="86" spans="5:32" ht="12.75">
      <c r="E86" s="2" t="s">
        <v>295</v>
      </c>
      <c r="G86" s="13"/>
      <c r="H86" s="14"/>
      <c r="I86" s="14"/>
      <c r="AE86" s="11">
        <f>0*1</f>
        <v>0</v>
      </c>
      <c r="AF86" s="11">
        <f>0*(1-1)</f>
        <v>0</v>
      </c>
    </row>
    <row r="87" spans="1:32" ht="12.75">
      <c r="A87" s="2" t="s">
        <v>40</v>
      </c>
      <c r="B87" s="2" t="s">
        <v>110</v>
      </c>
      <c r="C87" s="2" t="s">
        <v>192</v>
      </c>
      <c r="D87" s="2" t="s">
        <v>229</v>
      </c>
      <c r="E87" s="2" t="s">
        <v>296</v>
      </c>
      <c r="F87" s="6">
        <v>459.58</v>
      </c>
      <c r="G87" s="13">
        <v>119.18</v>
      </c>
      <c r="H87" s="14">
        <f t="shared" si="0"/>
        <v>54772.7444</v>
      </c>
      <c r="I87" s="14"/>
      <c r="AE87" s="11">
        <f>134.06*1</f>
        <v>134.06</v>
      </c>
      <c r="AF87" s="11">
        <f>134.06*(1-1)</f>
        <v>0</v>
      </c>
    </row>
    <row r="88" spans="5:32" ht="12.75">
      <c r="E88" s="2" t="s">
        <v>297</v>
      </c>
      <c r="G88" s="13"/>
      <c r="H88" s="14"/>
      <c r="I88" s="14"/>
      <c r="AE88" s="11">
        <f>0*1</f>
        <v>0</v>
      </c>
      <c r="AF88" s="11">
        <f>0*(1-1)</f>
        <v>0</v>
      </c>
    </row>
    <row r="89" spans="1:32" ht="12.75">
      <c r="A89" s="1" t="s">
        <v>41</v>
      </c>
      <c r="B89" s="1" t="s">
        <v>111</v>
      </c>
      <c r="C89" s="1" t="s">
        <v>193</v>
      </c>
      <c r="D89" s="1" t="s">
        <v>227</v>
      </c>
      <c r="E89" s="1" t="s">
        <v>298</v>
      </c>
      <c r="F89" s="5">
        <v>21</v>
      </c>
      <c r="G89" s="13">
        <v>65.96</v>
      </c>
      <c r="H89" s="14">
        <f t="shared" si="0"/>
        <v>1385.1599999999999</v>
      </c>
      <c r="I89" s="14"/>
      <c r="AE89" s="10">
        <f>800*1</f>
        <v>800</v>
      </c>
      <c r="AF89" s="10">
        <f>800*(1-1)</f>
        <v>0</v>
      </c>
    </row>
    <row r="90" spans="5:32" ht="12.75">
      <c r="E90" s="1" t="s">
        <v>299</v>
      </c>
      <c r="G90" s="13"/>
      <c r="H90" s="14"/>
      <c r="I90" s="14"/>
      <c r="AE90" s="10">
        <f>0*1</f>
        <v>0</v>
      </c>
      <c r="AF90" s="10">
        <f>0*(1-1)</f>
        <v>0</v>
      </c>
    </row>
    <row r="91" spans="1:32" ht="12.75">
      <c r="A91" s="1" t="s">
        <v>42</v>
      </c>
      <c r="B91" s="1" t="s">
        <v>112</v>
      </c>
      <c r="C91" s="1" t="s">
        <v>194</v>
      </c>
      <c r="D91" s="1" t="s">
        <v>229</v>
      </c>
      <c r="E91" s="1" t="s">
        <v>3</v>
      </c>
      <c r="F91" s="5">
        <v>2</v>
      </c>
      <c r="G91" s="13">
        <v>906.36</v>
      </c>
      <c r="H91" s="14">
        <f t="shared" si="0"/>
        <v>1812.72</v>
      </c>
      <c r="I91" s="14"/>
      <c r="AE91" s="10">
        <f>385.39*0.491579957964659</f>
        <v>189.4499999999999</v>
      </c>
      <c r="AF91" s="10">
        <f>385.39*(1-0.491579957964659)</f>
        <v>195.94000000000008</v>
      </c>
    </row>
    <row r="92" spans="1:32" ht="12.75">
      <c r="A92" s="1" t="s">
        <v>43</v>
      </c>
      <c r="B92" s="1" t="s">
        <v>113</v>
      </c>
      <c r="C92" s="1" t="s">
        <v>195</v>
      </c>
      <c r="D92" s="1" t="s">
        <v>227</v>
      </c>
      <c r="E92" s="1" t="s">
        <v>300</v>
      </c>
      <c r="F92" s="5">
        <v>666.7</v>
      </c>
      <c r="G92" s="13">
        <v>25</v>
      </c>
      <c r="H92" s="14">
        <f t="shared" si="0"/>
        <v>16667.5</v>
      </c>
      <c r="I92" s="14"/>
      <c r="AE92" s="10">
        <f>30.1*0.71328903654485</f>
        <v>21.469999999999985</v>
      </c>
      <c r="AF92" s="10">
        <f>30.1*(1-0.71328903654485)</f>
        <v>8.630000000000015</v>
      </c>
    </row>
    <row r="93" spans="5:32" ht="12.75">
      <c r="E93" s="1" t="s">
        <v>301</v>
      </c>
      <c r="G93" s="13"/>
      <c r="H93" s="14"/>
      <c r="I93" s="14"/>
      <c r="AE93" s="10">
        <f>0*0.71328903654485</f>
        <v>0</v>
      </c>
      <c r="AF93" s="10">
        <f>0*(1-0.71328903654485)</f>
        <v>0</v>
      </c>
    </row>
    <row r="94" spans="5:32" ht="12.75">
      <c r="E94" s="1" t="s">
        <v>302</v>
      </c>
      <c r="G94" s="13"/>
      <c r="H94" s="14"/>
      <c r="I94" s="14"/>
      <c r="AE94" s="10">
        <f>0*0.71328903654485</f>
        <v>0</v>
      </c>
      <c r="AF94" s="10">
        <f>0*(1-0.71328903654485)</f>
        <v>0</v>
      </c>
    </row>
    <row r="95" spans="1:32" ht="12.75">
      <c r="A95" s="1" t="s">
        <v>44</v>
      </c>
      <c r="B95" s="1" t="s">
        <v>114</v>
      </c>
      <c r="C95" s="1" t="s">
        <v>196</v>
      </c>
      <c r="D95" s="1" t="s">
        <v>227</v>
      </c>
      <c r="E95" s="1" t="s">
        <v>303</v>
      </c>
      <c r="F95" s="5">
        <v>96</v>
      </c>
      <c r="G95" s="13">
        <v>75</v>
      </c>
      <c r="H95" s="14">
        <f t="shared" si="0"/>
        <v>7200</v>
      </c>
      <c r="I95" s="14"/>
      <c r="AE95" s="10">
        <f>68.09*0.751945953884565</f>
        <v>51.20000000000003</v>
      </c>
      <c r="AF95" s="10">
        <f>68.09*(1-0.751945953884565)</f>
        <v>16.889999999999972</v>
      </c>
    </row>
    <row r="96" spans="1:32" ht="12.75">
      <c r="A96" s="1" t="s">
        <v>45</v>
      </c>
      <c r="B96" s="1" t="s">
        <v>115</v>
      </c>
      <c r="C96" s="1" t="s">
        <v>197</v>
      </c>
      <c r="D96" s="1" t="s">
        <v>227</v>
      </c>
      <c r="E96" s="1" t="s">
        <v>304</v>
      </c>
      <c r="F96" s="5">
        <v>96</v>
      </c>
      <c r="G96" s="13">
        <v>3.93</v>
      </c>
      <c r="H96" s="14">
        <f t="shared" si="0"/>
        <v>377.28000000000003</v>
      </c>
      <c r="I96" s="14"/>
      <c r="AE96" s="10">
        <f>3.6*0.127777777777778</f>
        <v>0.4600000000000008</v>
      </c>
      <c r="AF96" s="10">
        <f>3.6*(1-0.127777777777778)</f>
        <v>3.1399999999999992</v>
      </c>
    </row>
    <row r="97" spans="1:32" ht="12.75">
      <c r="A97" s="1" t="s">
        <v>46</v>
      </c>
      <c r="B97" s="1" t="s">
        <v>116</v>
      </c>
      <c r="C97" s="1" t="s">
        <v>198</v>
      </c>
      <c r="D97" s="1" t="s">
        <v>227</v>
      </c>
      <c r="E97" s="1" t="s">
        <v>305</v>
      </c>
      <c r="F97" s="5">
        <v>700</v>
      </c>
      <c r="G97" s="13">
        <v>221.66</v>
      </c>
      <c r="H97" s="14">
        <f t="shared" si="0"/>
        <v>155162</v>
      </c>
      <c r="I97" s="14"/>
      <c r="AE97" s="10">
        <f>199.11*0.680427904173572</f>
        <v>135.47999999999993</v>
      </c>
      <c r="AF97" s="10">
        <f>199.11*(1-0.680427904173572)</f>
        <v>63.63000000000008</v>
      </c>
    </row>
    <row r="98" spans="5:32" ht="12.75">
      <c r="E98" s="1" t="s">
        <v>306</v>
      </c>
      <c r="G98" s="13"/>
      <c r="H98" s="14"/>
      <c r="I98" s="14"/>
      <c r="AE98" s="10">
        <f>0*0.680427904173572</f>
        <v>0</v>
      </c>
      <c r="AF98" s="10">
        <f>0*(1-0.680427904173572)</f>
        <v>0</v>
      </c>
    </row>
    <row r="99" spans="1:9" ht="12.75">
      <c r="A99" s="4" t="s">
        <v>0</v>
      </c>
      <c r="B99" s="4" t="s">
        <v>117</v>
      </c>
      <c r="C99" s="4" t="s">
        <v>199</v>
      </c>
      <c r="D99" s="4" t="s">
        <v>0</v>
      </c>
      <c r="E99" s="4" t="s">
        <v>0</v>
      </c>
      <c r="F99" s="8" t="s">
        <v>0</v>
      </c>
      <c r="G99" s="8"/>
      <c r="H99" s="19">
        <f>SUM(H100)</f>
        <v>5460.21</v>
      </c>
      <c r="I99" s="14"/>
    </row>
    <row r="100" spans="1:32" ht="12.75">
      <c r="A100" s="1" t="s">
        <v>47</v>
      </c>
      <c r="B100" s="1" t="s">
        <v>118</v>
      </c>
      <c r="C100" s="1" t="s">
        <v>200</v>
      </c>
      <c r="D100" s="1" t="s">
        <v>226</v>
      </c>
      <c r="E100" s="1" t="s">
        <v>307</v>
      </c>
      <c r="F100" s="5">
        <v>963</v>
      </c>
      <c r="G100" s="13">
        <v>5.67</v>
      </c>
      <c r="H100" s="14">
        <f t="shared" si="0"/>
        <v>5460.21</v>
      </c>
      <c r="I100" s="14"/>
      <c r="AE100" s="10">
        <f>7.2*0.0847222222222222</f>
        <v>0.6099999999999999</v>
      </c>
      <c r="AF100" s="10">
        <f>7.2*(1-0.0847222222222222)</f>
        <v>6.590000000000001</v>
      </c>
    </row>
    <row r="101" spans="1:9" ht="12.75">
      <c r="A101" s="4" t="s">
        <v>0</v>
      </c>
      <c r="B101" s="4" t="s">
        <v>119</v>
      </c>
      <c r="C101" s="4" t="s">
        <v>201</v>
      </c>
      <c r="D101" s="4" t="s">
        <v>0</v>
      </c>
      <c r="E101" s="4" t="s">
        <v>0</v>
      </c>
      <c r="F101" s="8" t="s">
        <v>0</v>
      </c>
      <c r="G101" s="8"/>
      <c r="H101" s="19">
        <f>SUM(H102:H103)</f>
        <v>5323.54</v>
      </c>
      <c r="I101" s="14"/>
    </row>
    <row r="102" spans="1:32" ht="12.75">
      <c r="A102" s="1" t="s">
        <v>48</v>
      </c>
      <c r="B102" s="1" t="s">
        <v>120</v>
      </c>
      <c r="C102" s="1" t="s">
        <v>202</v>
      </c>
      <c r="D102" s="1" t="s">
        <v>227</v>
      </c>
      <c r="E102" s="1" t="s">
        <v>308</v>
      </c>
      <c r="F102" s="5">
        <v>12</v>
      </c>
      <c r="G102" s="13">
        <v>74.99</v>
      </c>
      <c r="H102" s="14">
        <f t="shared" si="0"/>
        <v>899.8799999999999</v>
      </c>
      <c r="I102" s="14"/>
      <c r="AE102" s="10">
        <f>150*0</f>
        <v>0</v>
      </c>
      <c r="AF102" s="10">
        <f>150*(1-0)</f>
        <v>150</v>
      </c>
    </row>
    <row r="103" spans="1:32" ht="12.75">
      <c r="A103" s="1" t="s">
        <v>49</v>
      </c>
      <c r="B103" s="1" t="s">
        <v>121</v>
      </c>
      <c r="C103" s="1" t="s">
        <v>203</v>
      </c>
      <c r="D103" s="1" t="s">
        <v>229</v>
      </c>
      <c r="E103" s="1" t="s">
        <v>3</v>
      </c>
      <c r="F103" s="5">
        <v>2</v>
      </c>
      <c r="G103" s="13">
        <v>2211.83</v>
      </c>
      <c r="H103" s="14">
        <f t="shared" si="0"/>
        <v>4423.66</v>
      </c>
      <c r="I103" s="14"/>
      <c r="AE103" s="10">
        <f>1000*1</f>
        <v>1000</v>
      </c>
      <c r="AF103" s="10">
        <f>1000*(1-1)</f>
        <v>0</v>
      </c>
    </row>
    <row r="104" spans="1:9" ht="12.75">
      <c r="A104" s="4" t="s">
        <v>0</v>
      </c>
      <c r="B104" s="4" t="s">
        <v>122</v>
      </c>
      <c r="C104" s="4" t="s">
        <v>204</v>
      </c>
      <c r="D104" s="4" t="s">
        <v>0</v>
      </c>
      <c r="E104" s="4" t="s">
        <v>0</v>
      </c>
      <c r="F104" s="8" t="s">
        <v>0</v>
      </c>
      <c r="G104" s="8"/>
      <c r="H104" s="19">
        <f>SUM(H105:H107)</f>
        <v>12308.6708</v>
      </c>
      <c r="I104" s="14"/>
    </row>
    <row r="105" spans="1:32" ht="12.75">
      <c r="A105" s="1" t="s">
        <v>50</v>
      </c>
      <c r="B105" s="1" t="s">
        <v>123</v>
      </c>
      <c r="C105" s="1" t="s">
        <v>205</v>
      </c>
      <c r="D105" s="1" t="s">
        <v>226</v>
      </c>
      <c r="E105" s="1" t="s">
        <v>309</v>
      </c>
      <c r="F105" s="5">
        <v>66</v>
      </c>
      <c r="G105" s="13">
        <v>29.29</v>
      </c>
      <c r="H105" s="14">
        <f t="shared" si="0"/>
        <v>1933.1399999999999</v>
      </c>
      <c r="I105" s="14"/>
      <c r="AE105" s="10">
        <f>73.3*0</f>
        <v>0</v>
      </c>
      <c r="AF105" s="10">
        <f>73.3*(1-0)</f>
        <v>73.3</v>
      </c>
    </row>
    <row r="106" spans="1:32" ht="12.75">
      <c r="A106" s="1" t="s">
        <v>51</v>
      </c>
      <c r="B106" s="1" t="s">
        <v>124</v>
      </c>
      <c r="C106" s="1" t="s">
        <v>206</v>
      </c>
      <c r="D106" s="1" t="s">
        <v>228</v>
      </c>
      <c r="E106" s="1" t="s">
        <v>310</v>
      </c>
      <c r="F106" s="5">
        <v>3.07</v>
      </c>
      <c r="G106" s="13">
        <v>2814.44</v>
      </c>
      <c r="H106" s="14">
        <f t="shared" si="0"/>
        <v>8640.3308</v>
      </c>
      <c r="I106" s="14"/>
      <c r="AE106" s="10">
        <f>3317.25*0.711685884392192</f>
        <v>2360.8399999999992</v>
      </c>
      <c r="AF106" s="10">
        <f>3317.25*(1-0.711685884392192)</f>
        <v>956.4100000000009</v>
      </c>
    </row>
    <row r="107" spans="1:32" ht="12.75">
      <c r="A107" s="1" t="s">
        <v>52</v>
      </c>
      <c r="B107" s="1" t="s">
        <v>125</v>
      </c>
      <c r="C107" s="1" t="s">
        <v>207</v>
      </c>
      <c r="D107" s="1" t="s">
        <v>227</v>
      </c>
      <c r="E107" s="1" t="s">
        <v>311</v>
      </c>
      <c r="F107" s="5">
        <v>16</v>
      </c>
      <c r="G107" s="13">
        <v>108.45</v>
      </c>
      <c r="H107" s="14">
        <f t="shared" si="0"/>
        <v>1735.2</v>
      </c>
      <c r="I107" s="14"/>
      <c r="AE107" s="10">
        <f>282*0.0538652482269504</f>
        <v>15.190000000000014</v>
      </c>
      <c r="AF107" s="10">
        <f>282*(1-0.0538652482269504)</f>
        <v>266.81</v>
      </c>
    </row>
    <row r="108" spans="1:9" ht="12.75">
      <c r="A108" s="4" t="s">
        <v>0</v>
      </c>
      <c r="B108" s="4" t="s">
        <v>126</v>
      </c>
      <c r="C108" s="4" t="s">
        <v>208</v>
      </c>
      <c r="D108" s="4" t="s">
        <v>0</v>
      </c>
      <c r="E108" s="4" t="s">
        <v>0</v>
      </c>
      <c r="F108" s="8" t="s">
        <v>0</v>
      </c>
      <c r="G108" s="8"/>
      <c r="H108" s="19">
        <f>SUM(H109:H113)</f>
        <v>80397.1948232</v>
      </c>
      <c r="I108" s="14"/>
    </row>
    <row r="109" spans="1:32" ht="12.75">
      <c r="A109" s="1" t="s">
        <v>53</v>
      </c>
      <c r="B109" s="1" t="s">
        <v>127</v>
      </c>
      <c r="C109" s="1" t="s">
        <v>209</v>
      </c>
      <c r="D109" s="1" t="s">
        <v>230</v>
      </c>
      <c r="E109" s="1" t="s">
        <v>312</v>
      </c>
      <c r="F109" s="5">
        <v>310</v>
      </c>
      <c r="G109" s="13">
        <v>35.18</v>
      </c>
      <c r="H109" s="14">
        <f t="shared" si="0"/>
        <v>10905.8</v>
      </c>
      <c r="I109" s="14"/>
      <c r="AE109" s="10">
        <f>37.63*0</f>
        <v>0</v>
      </c>
      <c r="AF109" s="10">
        <f>37.63*(1-0)</f>
        <v>37.63</v>
      </c>
    </row>
    <row r="110" spans="1:32" ht="12.75">
      <c r="A110" s="1" t="s">
        <v>54</v>
      </c>
      <c r="B110" s="1" t="s">
        <v>128</v>
      </c>
      <c r="C110" s="1" t="s">
        <v>210</v>
      </c>
      <c r="D110" s="1" t="s">
        <v>230</v>
      </c>
      <c r="E110" s="1" t="s">
        <v>313</v>
      </c>
      <c r="F110" s="5">
        <v>2790</v>
      </c>
      <c r="G110" s="13">
        <v>7.58</v>
      </c>
      <c r="H110" s="14">
        <f t="shared" si="0"/>
        <v>21148.2</v>
      </c>
      <c r="I110" s="14"/>
      <c r="AE110" s="10">
        <f>9.7*0</f>
        <v>0</v>
      </c>
      <c r="AF110" s="10">
        <f>9.7*(1-0)</f>
        <v>9.7</v>
      </c>
    </row>
    <row r="111" spans="1:32" ht="12.75">
      <c r="A111" s="1" t="s">
        <v>55</v>
      </c>
      <c r="B111" s="1" t="s">
        <v>129</v>
      </c>
      <c r="C111" s="1" t="s">
        <v>211</v>
      </c>
      <c r="D111" s="1" t="s">
        <v>230</v>
      </c>
      <c r="E111" s="1" t="s">
        <v>48</v>
      </c>
      <c r="F111" s="5">
        <v>47</v>
      </c>
      <c r="G111" s="13">
        <v>65.48</v>
      </c>
      <c r="H111" s="14">
        <f t="shared" si="0"/>
        <v>3077.5600000000004</v>
      </c>
      <c r="I111" s="14"/>
      <c r="AE111" s="10">
        <f>616.43*0</f>
        <v>0</v>
      </c>
      <c r="AF111" s="10">
        <f>616.43*(1-0)</f>
        <v>616.43</v>
      </c>
    </row>
    <row r="112" spans="1:32" ht="12.75">
      <c r="A112" s="1" t="s">
        <v>56</v>
      </c>
      <c r="B112" s="1" t="s">
        <v>130</v>
      </c>
      <c r="C112" s="1" t="s">
        <v>212</v>
      </c>
      <c r="D112" s="1" t="s">
        <v>230</v>
      </c>
      <c r="E112" s="1" t="s">
        <v>314</v>
      </c>
      <c r="F112" s="5">
        <v>47</v>
      </c>
      <c r="G112" s="13">
        <v>37.88</v>
      </c>
      <c r="H112" s="14">
        <f t="shared" si="0"/>
        <v>1780.3600000000001</v>
      </c>
      <c r="I112" s="14"/>
      <c r="AE112" s="10">
        <f>27.89*0</f>
        <v>0</v>
      </c>
      <c r="AF112" s="10">
        <f>27.89*(1-0)</f>
        <v>27.89</v>
      </c>
    </row>
    <row r="113" spans="1:32" ht="12.75">
      <c r="A113" s="1" t="s">
        <v>57</v>
      </c>
      <c r="B113" s="1" t="s">
        <v>131</v>
      </c>
      <c r="C113" s="1" t="s">
        <v>213</v>
      </c>
      <c r="D113" s="1" t="s">
        <v>230</v>
      </c>
      <c r="E113" s="1"/>
      <c r="F113" s="5">
        <v>1451.44442</v>
      </c>
      <c r="G113" s="13">
        <v>29.96</v>
      </c>
      <c r="H113" s="14">
        <f t="shared" si="0"/>
        <v>43485.2748232</v>
      </c>
      <c r="I113" s="14"/>
      <c r="AE113" s="10">
        <f>6.3*0</f>
        <v>0</v>
      </c>
      <c r="AF113" s="10">
        <f>6.3*(1-0)</f>
        <v>6.3</v>
      </c>
    </row>
    <row r="114" spans="1:9" ht="12.75">
      <c r="A114" s="4" t="s">
        <v>0</v>
      </c>
      <c r="B114" s="4"/>
      <c r="C114" s="4" t="s">
        <v>214</v>
      </c>
      <c r="D114" s="4" t="s">
        <v>0</v>
      </c>
      <c r="E114" s="4" t="s">
        <v>0</v>
      </c>
      <c r="F114" s="8" t="s">
        <v>0</v>
      </c>
      <c r="G114" s="8"/>
      <c r="H114" s="19">
        <f>SUM(H115:H135)</f>
        <v>342677.8139672</v>
      </c>
      <c r="I114" s="14"/>
    </row>
    <row r="115" spans="1:32" ht="12.75">
      <c r="A115" s="2" t="s">
        <v>58</v>
      </c>
      <c r="B115" s="2" t="s">
        <v>132</v>
      </c>
      <c r="C115" s="2" t="s">
        <v>215</v>
      </c>
      <c r="D115" s="2" t="s">
        <v>227</v>
      </c>
      <c r="E115" s="2" t="s">
        <v>6</v>
      </c>
      <c r="F115" s="6">
        <v>5.15</v>
      </c>
      <c r="G115" s="13">
        <v>25.88</v>
      </c>
      <c r="H115" s="14">
        <f t="shared" si="0"/>
        <v>133.282</v>
      </c>
      <c r="I115" s="14"/>
      <c r="AE115" s="11">
        <f>41.72*1</f>
        <v>41.72</v>
      </c>
      <c r="AF115" s="11">
        <f>41.72*(1-1)</f>
        <v>0</v>
      </c>
    </row>
    <row r="116" spans="5:32" ht="12.75">
      <c r="E116" s="2" t="s">
        <v>315</v>
      </c>
      <c r="G116" s="13"/>
      <c r="H116" s="14"/>
      <c r="I116" s="14"/>
      <c r="AE116" s="11">
        <f>0*1</f>
        <v>0</v>
      </c>
      <c r="AF116" s="11">
        <f>0*(1-1)</f>
        <v>0</v>
      </c>
    </row>
    <row r="117" spans="1:32" ht="12.75">
      <c r="A117" s="2" t="s">
        <v>59</v>
      </c>
      <c r="B117" s="2" t="s">
        <v>133</v>
      </c>
      <c r="C117" s="2" t="s">
        <v>216</v>
      </c>
      <c r="D117" s="2" t="s">
        <v>227</v>
      </c>
      <c r="E117" s="2" t="s">
        <v>6</v>
      </c>
      <c r="F117" s="6">
        <v>5.15</v>
      </c>
      <c r="G117" s="13">
        <v>56.94</v>
      </c>
      <c r="H117" s="14">
        <f t="shared" si="0"/>
        <v>293.241</v>
      </c>
      <c r="I117" s="14"/>
      <c r="AE117" s="11">
        <f>57.47*1</f>
        <v>57.47</v>
      </c>
      <c r="AF117" s="11">
        <f>57.47*(1-1)</f>
        <v>0</v>
      </c>
    </row>
    <row r="118" spans="5:32" ht="12.75">
      <c r="E118" s="2" t="s">
        <v>315</v>
      </c>
      <c r="G118" s="13"/>
      <c r="H118" s="14"/>
      <c r="I118" s="14"/>
      <c r="AE118" s="11">
        <f>0*1</f>
        <v>0</v>
      </c>
      <c r="AF118" s="11">
        <f>0*(1-1)</f>
        <v>0</v>
      </c>
    </row>
    <row r="119" spans="1:32" ht="12.75">
      <c r="A119" s="2" t="s">
        <v>60</v>
      </c>
      <c r="B119" s="2" t="s">
        <v>134</v>
      </c>
      <c r="C119" s="2" t="s">
        <v>217</v>
      </c>
      <c r="D119" s="2" t="s">
        <v>229</v>
      </c>
      <c r="E119" s="2" t="s">
        <v>3</v>
      </c>
      <c r="F119" s="6">
        <v>2.02</v>
      </c>
      <c r="G119" s="13">
        <v>955.9</v>
      </c>
      <c r="H119" s="14">
        <f t="shared" si="0"/>
        <v>1930.918</v>
      </c>
      <c r="I119" s="14"/>
      <c r="AE119" s="11">
        <f>1530*1</f>
        <v>1530</v>
      </c>
      <c r="AF119" s="11">
        <f>1530*(1-1)</f>
        <v>0</v>
      </c>
    </row>
    <row r="120" spans="5:32" ht="12.75">
      <c r="E120" s="2" t="s">
        <v>316</v>
      </c>
      <c r="G120" s="13"/>
      <c r="H120" s="14"/>
      <c r="I120" s="14"/>
      <c r="AE120" s="11">
        <f>0*1</f>
        <v>0</v>
      </c>
      <c r="AF120" s="11">
        <f>0*(1-1)</f>
        <v>0</v>
      </c>
    </row>
    <row r="121" spans="1:32" ht="12.75">
      <c r="A121" s="2" t="s">
        <v>61</v>
      </c>
      <c r="B121" s="2" t="s">
        <v>135</v>
      </c>
      <c r="C121" s="2" t="s">
        <v>218</v>
      </c>
      <c r="D121" s="2" t="s">
        <v>229</v>
      </c>
      <c r="E121" s="2" t="s">
        <v>3</v>
      </c>
      <c r="F121" s="6">
        <v>2.06</v>
      </c>
      <c r="G121" s="13">
        <v>85000</v>
      </c>
      <c r="H121" s="14">
        <f t="shared" si="0"/>
        <v>175100</v>
      </c>
      <c r="I121" s="14"/>
      <c r="AE121" s="11">
        <f>90000*1</f>
        <v>90000</v>
      </c>
      <c r="AF121" s="11">
        <f>90000*(1-1)</f>
        <v>0</v>
      </c>
    </row>
    <row r="122" spans="5:32" ht="12.75">
      <c r="E122" s="2" t="s">
        <v>317</v>
      </c>
      <c r="G122" s="13"/>
      <c r="H122" s="14"/>
      <c r="I122" s="14"/>
      <c r="AE122" s="11">
        <f>0*1</f>
        <v>0</v>
      </c>
      <c r="AF122" s="11">
        <f>0*(1-1)</f>
        <v>0</v>
      </c>
    </row>
    <row r="123" spans="1:32" ht="12.75">
      <c r="A123" s="2" t="s">
        <v>62</v>
      </c>
      <c r="B123" s="2" t="s">
        <v>136</v>
      </c>
      <c r="C123" s="2" t="s">
        <v>219</v>
      </c>
      <c r="D123" s="2" t="s">
        <v>229</v>
      </c>
      <c r="E123" s="2" t="s">
        <v>318</v>
      </c>
      <c r="F123" s="6">
        <v>350.2</v>
      </c>
      <c r="G123" s="13">
        <v>139</v>
      </c>
      <c r="H123" s="14">
        <f t="shared" si="0"/>
        <v>48677.799999999996</v>
      </c>
      <c r="I123" s="14"/>
      <c r="AE123" s="11">
        <f>50*1</f>
        <v>50</v>
      </c>
      <c r="AF123" s="11">
        <f>50*(1-1)</f>
        <v>0</v>
      </c>
    </row>
    <row r="124" spans="5:32" ht="12.75">
      <c r="E124" s="2" t="s">
        <v>319</v>
      </c>
      <c r="G124" s="13"/>
      <c r="H124" s="14"/>
      <c r="I124" s="14"/>
      <c r="AE124" s="11">
        <f>0*1</f>
        <v>0</v>
      </c>
      <c r="AF124" s="11">
        <f>0*(1-1)</f>
        <v>0</v>
      </c>
    </row>
    <row r="125" spans="1:32" ht="12.75">
      <c r="A125" s="2" t="s">
        <v>63</v>
      </c>
      <c r="B125" s="2" t="s">
        <v>137</v>
      </c>
      <c r="C125" s="2" t="s">
        <v>220</v>
      </c>
      <c r="D125" s="2" t="s">
        <v>229</v>
      </c>
      <c r="E125" s="2" t="s">
        <v>19</v>
      </c>
      <c r="F125" s="6">
        <v>18.54</v>
      </c>
      <c r="G125" s="13">
        <v>695</v>
      </c>
      <c r="H125" s="14">
        <f t="shared" si="0"/>
        <v>12885.3</v>
      </c>
      <c r="I125" s="14"/>
      <c r="AE125" s="11">
        <f>300*1</f>
        <v>300</v>
      </c>
      <c r="AF125" s="11">
        <f>300*(1-1)</f>
        <v>0</v>
      </c>
    </row>
    <row r="126" spans="5:32" ht="12.75">
      <c r="E126" s="2" t="s">
        <v>320</v>
      </c>
      <c r="G126" s="13"/>
      <c r="H126" s="14"/>
      <c r="I126" s="14"/>
      <c r="AE126" s="11">
        <f>0*1</f>
        <v>0</v>
      </c>
      <c r="AF126" s="11">
        <f>0*(1-1)</f>
        <v>0</v>
      </c>
    </row>
    <row r="127" spans="1:32" ht="12.75">
      <c r="A127" s="2" t="s">
        <v>64</v>
      </c>
      <c r="B127" s="2" t="s">
        <v>138</v>
      </c>
      <c r="C127" s="2" t="s">
        <v>221</v>
      </c>
      <c r="D127" s="2" t="s">
        <v>229</v>
      </c>
      <c r="E127" s="2" t="s">
        <v>321</v>
      </c>
      <c r="F127" s="6">
        <v>2.06</v>
      </c>
      <c r="G127" s="13">
        <v>1210</v>
      </c>
      <c r="H127" s="14">
        <f t="shared" si="0"/>
        <v>2492.6</v>
      </c>
      <c r="I127" s="14"/>
      <c r="AE127" s="11">
        <f>960.68*1</f>
        <v>960.68</v>
      </c>
      <c r="AF127" s="11">
        <f>960.68*(1-1)</f>
        <v>0</v>
      </c>
    </row>
    <row r="128" spans="5:32" ht="12.75">
      <c r="E128" s="2" t="s">
        <v>317</v>
      </c>
      <c r="G128" s="13"/>
      <c r="H128" s="14"/>
      <c r="I128" s="14"/>
      <c r="AE128" s="11">
        <f>0*1</f>
        <v>0</v>
      </c>
      <c r="AF128" s="11">
        <f>0*(1-1)</f>
        <v>0</v>
      </c>
    </row>
    <row r="129" spans="1:32" ht="12.75">
      <c r="A129" s="2" t="s">
        <v>65</v>
      </c>
      <c r="B129" s="2" t="s">
        <v>139</v>
      </c>
      <c r="C129" s="2" t="s">
        <v>222</v>
      </c>
      <c r="D129" s="2" t="s">
        <v>229</v>
      </c>
      <c r="E129" s="2" t="s">
        <v>5</v>
      </c>
      <c r="F129" s="6">
        <v>4.12</v>
      </c>
      <c r="G129" s="13">
        <v>2751</v>
      </c>
      <c r="H129" s="14">
        <f t="shared" si="0"/>
        <v>11334.12</v>
      </c>
      <c r="I129" s="14"/>
      <c r="AE129" s="11">
        <f>2612.79*1</f>
        <v>2612.79</v>
      </c>
      <c r="AF129" s="11">
        <f>2612.79*(1-1)</f>
        <v>0</v>
      </c>
    </row>
    <row r="130" spans="5:32" ht="12.75">
      <c r="E130" s="2" t="s">
        <v>322</v>
      </c>
      <c r="G130" s="13"/>
      <c r="H130" s="14"/>
      <c r="I130" s="14"/>
      <c r="AE130" s="11">
        <f>0*1</f>
        <v>0</v>
      </c>
      <c r="AF130" s="11">
        <f>0*(1-1)</f>
        <v>0</v>
      </c>
    </row>
    <row r="131" spans="1:32" ht="12.75">
      <c r="A131" s="2" t="s">
        <v>66</v>
      </c>
      <c r="B131" s="2" t="s">
        <v>140</v>
      </c>
      <c r="C131" s="2" t="s">
        <v>223</v>
      </c>
      <c r="D131" s="2" t="s">
        <v>229</v>
      </c>
      <c r="E131" s="2" t="s">
        <v>5</v>
      </c>
      <c r="F131" s="6">
        <v>4.04</v>
      </c>
      <c r="G131" s="13">
        <v>3541</v>
      </c>
      <c r="H131" s="14">
        <f t="shared" si="0"/>
        <v>14305.64</v>
      </c>
      <c r="I131" s="14"/>
      <c r="AE131" s="11">
        <f>215.46*1</f>
        <v>215.46</v>
      </c>
      <c r="AF131" s="11">
        <f>215.46*(1-1)</f>
        <v>0</v>
      </c>
    </row>
    <row r="132" spans="5:32" ht="12.75">
      <c r="E132" s="2" t="s">
        <v>323</v>
      </c>
      <c r="G132" s="13"/>
      <c r="H132" s="14"/>
      <c r="I132" s="14"/>
      <c r="AE132" s="11">
        <f>0*1</f>
        <v>0</v>
      </c>
      <c r="AF132" s="11">
        <f>0*(1-1)</f>
        <v>0</v>
      </c>
    </row>
    <row r="133" spans="1:32" ht="12.75">
      <c r="A133" s="2" t="s">
        <v>67</v>
      </c>
      <c r="B133" s="2" t="s">
        <v>325</v>
      </c>
      <c r="C133" s="2" t="s">
        <v>326</v>
      </c>
      <c r="D133" s="2" t="s">
        <v>327</v>
      </c>
      <c r="E133" s="2" t="s">
        <v>41</v>
      </c>
      <c r="F133" s="6">
        <v>41.2</v>
      </c>
      <c r="G133" s="13">
        <v>778.5</v>
      </c>
      <c r="H133" s="14">
        <f t="shared" si="0"/>
        <v>32074.2</v>
      </c>
      <c r="I133" s="14"/>
      <c r="AE133" s="10">
        <f>54.7*0</f>
        <v>0</v>
      </c>
      <c r="AF133" s="10">
        <f>54.7*(1-0)</f>
        <v>54.7</v>
      </c>
    </row>
    <row r="134" spans="5:9" ht="12.75">
      <c r="E134" s="2" t="s">
        <v>328</v>
      </c>
      <c r="G134" s="13"/>
      <c r="H134" s="14"/>
      <c r="I134" s="14"/>
    </row>
    <row r="135" spans="1:9" ht="13.5" thickBot="1">
      <c r="A135" s="20" t="s">
        <v>329</v>
      </c>
      <c r="B135" s="20" t="s">
        <v>141</v>
      </c>
      <c r="C135" s="20" t="s">
        <v>224</v>
      </c>
      <c r="D135" s="20" t="s">
        <v>230</v>
      </c>
      <c r="E135" s="20"/>
      <c r="F135" s="21">
        <v>1450.29082</v>
      </c>
      <c r="G135" s="22">
        <v>29.96</v>
      </c>
      <c r="H135" s="22">
        <f>F135*G135</f>
        <v>43450.7129672</v>
      </c>
      <c r="I135" s="14"/>
    </row>
    <row r="136" spans="1:9" ht="12.75">
      <c r="A136" s="13"/>
      <c r="B136" s="13"/>
      <c r="C136" s="13"/>
      <c r="D136" s="13"/>
      <c r="E136" s="13"/>
      <c r="F136" s="13"/>
      <c r="G136" s="13"/>
      <c r="H136" s="14"/>
      <c r="I136" s="14"/>
    </row>
    <row r="137" spans="1:8" ht="12.75">
      <c r="A137" s="12"/>
      <c r="B137" s="12"/>
      <c r="C137" s="12"/>
      <c r="D137" s="12"/>
      <c r="E137" s="12"/>
      <c r="F137" s="12"/>
      <c r="G137" s="23" t="s">
        <v>331</v>
      </c>
      <c r="H137" s="24">
        <f>SUM(H114+H108+H104+H101+H99+H84+H81+H79+H60+H54+H43+H41+H39+H35+H26+H4)</f>
        <v>2090446.1486904</v>
      </c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</sheetData>
  <sheetProtection/>
  <mergeCells count="1">
    <mergeCell ref="A1:F1"/>
  </mergeCells>
  <printOptions gridLines="1"/>
  <pageMargins left="0.787401575" right="0.787401575" top="1.42" bottom="0.7" header="0.4921259845" footer="0.4921259845"/>
  <pageSetup horizontalDpi="600" verticalDpi="600" orientation="landscape" paperSize="9" r:id="rId1"/>
  <headerFooter>
    <oddHeader>&amp;L&amp;"Arial,tučné"&amp;8&amp;Umatula&amp;"Arial,obyčejné" &amp;"Arial,kurzíva"projekce dopravních staveb&amp;"Arial,obyčejné"&amp;U
Šumavská 15, 602 00 Brno, tel. 541 235 048
FAKULTNÍ NEMOCNICE BRNO, HELIPORT HEMS
IO 08 – Komunikace, zpevněné plochy
Prováděcí dokumentace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Tomický</dc:creator>
  <cp:keywords/>
  <dc:description/>
  <cp:lastModifiedBy>Kajzarová Jitka</cp:lastModifiedBy>
  <cp:lastPrinted>2012-10-30T14:09:09Z</cp:lastPrinted>
  <dcterms:created xsi:type="dcterms:W3CDTF">2012-10-30T12:12:16Z</dcterms:created>
  <dcterms:modified xsi:type="dcterms:W3CDTF">2014-11-10T09:47:20Z</dcterms:modified>
  <cp:category/>
  <cp:version/>
  <cp:contentType/>
  <cp:contentStatus/>
</cp:coreProperties>
</file>